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defaultThemeVersion="166925"/>
  <mc:AlternateContent xmlns:mc="http://schemas.openxmlformats.org/markup-compatibility/2006">
    <mc:Choice Requires="x15">
      <x15ac:absPath xmlns:x15ac="http://schemas.microsoft.com/office/spreadsheetml/2010/11/ac" url="F:\A ATIVOS DISCO E\ABES\PNQS 2025\Banca\"/>
    </mc:Choice>
  </mc:AlternateContent>
  <xr:revisionPtr revIDLastSave="0" documentId="13_ncr:1_{AE8E7298-1E81-4A40-AB9D-0BEF584A211E}" xr6:coauthVersionLast="47" xr6:coauthVersionMax="47" xr10:uidLastSave="{00000000-0000-0000-0000-000000000000}"/>
  <bookViews>
    <workbookView xWindow="-120" yWindow="-120" windowWidth="29040" windowHeight="15840" tabRatio="796" activeTab="1" xr2:uid="{00000000-000D-0000-FFFF-FFFF00000000}"/>
  </bookViews>
  <sheets>
    <sheet name="Capa" sheetId="4" r:id="rId1"/>
    <sheet name="1" sheetId="1" r:id="rId2"/>
    <sheet name="2" sheetId="5" r:id="rId3"/>
    <sheet name="3" sheetId="6" r:id="rId4"/>
    <sheet name="4" sheetId="7" r:id="rId5"/>
    <sheet name="5" sheetId="8" r:id="rId6"/>
    <sheet name="6" sheetId="9" r:id="rId7"/>
    <sheet name="7" sheetId="10" r:id="rId8"/>
    <sheet name="8.1" sheetId="18" r:id="rId9"/>
    <sheet name="8.2" sheetId="13" r:id="rId10"/>
    <sheet name="8.3" sheetId="14" r:id="rId11"/>
    <sheet name="8.4" sheetId="15" r:id="rId12"/>
    <sheet name="8.5" sheetId="16" r:id="rId13"/>
    <sheet name="8.6" sheetId="17" r:id="rId14"/>
    <sheet name="Quadro Geral" sheetId="11" r:id="rId15"/>
    <sheet name="Notas Rodapé" sheetId="20" r:id="rId16"/>
    <sheet name="Glossário" sheetId="21" r:id="rId17"/>
  </sheets>
  <definedNames>
    <definedName name="_ftn1" localSheetId="1">'1'!$E$50</definedName>
    <definedName name="_ftn2" localSheetId="1">'1'!$E$51</definedName>
    <definedName name="_ftn3" localSheetId="1">'1'!$E$53</definedName>
    <definedName name="_Hlk189516474" localSheetId="15">'Notas Rodapé'!$A$1</definedName>
    <definedName name="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 l="1"/>
  <c r="L5" i="5"/>
  <c r="L5" i="6"/>
  <c r="L5" i="7"/>
  <c r="L5" i="8"/>
  <c r="L5" i="9"/>
  <c r="L5" i="10"/>
  <c r="L19" i="10"/>
  <c r="L213" i="10"/>
  <c r="J213" i="10"/>
  <c r="L212" i="10"/>
  <c r="J212" i="10"/>
  <c r="L211" i="10"/>
  <c r="J211" i="10"/>
  <c r="L210" i="10"/>
  <c r="J210" i="10"/>
  <c r="L209" i="10"/>
  <c r="J209" i="10"/>
  <c r="L208" i="10"/>
  <c r="J208" i="10"/>
  <c r="L207" i="10"/>
  <c r="J207" i="10"/>
  <c r="L206" i="10"/>
  <c r="J206" i="10"/>
  <c r="L205" i="10"/>
  <c r="J205" i="10"/>
  <c r="L200" i="10"/>
  <c r="J200" i="10"/>
  <c r="L199" i="10"/>
  <c r="J199" i="10"/>
  <c r="L198" i="10"/>
  <c r="J198" i="10"/>
  <c r="L197" i="10"/>
  <c r="J197" i="10"/>
  <c r="L196" i="10"/>
  <c r="J196" i="10"/>
  <c r="L195" i="10"/>
  <c r="J195" i="10"/>
  <c r="L194" i="10"/>
  <c r="J194" i="10"/>
  <c r="L193" i="10"/>
  <c r="J193" i="10"/>
  <c r="L192" i="10"/>
  <c r="J192" i="10"/>
  <c r="L191" i="10"/>
  <c r="J191" i="10"/>
  <c r="L186" i="10"/>
  <c r="J186" i="10"/>
  <c r="L185" i="10"/>
  <c r="J185" i="10"/>
  <c r="L184" i="10"/>
  <c r="J184" i="10"/>
  <c r="L183" i="10"/>
  <c r="J183" i="10"/>
  <c r="L182" i="10"/>
  <c r="J182" i="10"/>
  <c r="L181" i="10"/>
  <c r="J181" i="10"/>
  <c r="L180" i="10"/>
  <c r="J180" i="10"/>
  <c r="L179" i="10"/>
  <c r="J179" i="10"/>
  <c r="L178" i="10"/>
  <c r="J178" i="10"/>
  <c r="L177" i="10"/>
  <c r="J177" i="10"/>
  <c r="L172" i="10"/>
  <c r="J172" i="10"/>
  <c r="L171" i="10"/>
  <c r="J171" i="10"/>
  <c r="L170" i="10"/>
  <c r="J170" i="10"/>
  <c r="L169" i="10"/>
  <c r="J169" i="10"/>
  <c r="L168" i="10"/>
  <c r="J168" i="10"/>
  <c r="L167" i="10"/>
  <c r="J167" i="10"/>
  <c r="L166" i="10"/>
  <c r="J166" i="10"/>
  <c r="L165" i="10"/>
  <c r="J165" i="10"/>
  <c r="L164" i="10"/>
  <c r="J164" i="10"/>
  <c r="L163" i="10"/>
  <c r="J163" i="10"/>
  <c r="L156" i="10"/>
  <c r="J156" i="10"/>
  <c r="L155" i="10"/>
  <c r="J155" i="10"/>
  <c r="L154" i="10"/>
  <c r="J154" i="10"/>
  <c r="L153" i="10"/>
  <c r="J153" i="10"/>
  <c r="L152" i="10"/>
  <c r="J152" i="10"/>
  <c r="L151" i="10"/>
  <c r="J151" i="10"/>
  <c r="L150" i="10"/>
  <c r="J150" i="10"/>
  <c r="L149" i="10"/>
  <c r="J149" i="10"/>
  <c r="L148" i="10"/>
  <c r="J148" i="10"/>
  <c r="L147" i="10"/>
  <c r="J147" i="10"/>
  <c r="L146" i="10"/>
  <c r="J146" i="10"/>
  <c r="L141" i="10"/>
  <c r="J141" i="10"/>
  <c r="L140" i="10"/>
  <c r="J140" i="10"/>
  <c r="L139" i="10"/>
  <c r="J139" i="10"/>
  <c r="L138" i="10"/>
  <c r="J138" i="10"/>
  <c r="L137" i="10"/>
  <c r="J137" i="10"/>
  <c r="L136" i="10"/>
  <c r="J136" i="10"/>
  <c r="L135" i="10"/>
  <c r="J135" i="10"/>
  <c r="L134" i="10"/>
  <c r="J134" i="10"/>
  <c r="L133" i="10"/>
  <c r="J133" i="10"/>
  <c r="L128" i="10"/>
  <c r="J128" i="10"/>
  <c r="L127" i="10"/>
  <c r="J127" i="10"/>
  <c r="L126" i="10"/>
  <c r="J126" i="10"/>
  <c r="L125" i="10"/>
  <c r="J125" i="10"/>
  <c r="L124" i="10"/>
  <c r="J124" i="10"/>
  <c r="L123" i="10"/>
  <c r="J123" i="10"/>
  <c r="L122" i="10"/>
  <c r="J122" i="10"/>
  <c r="L121" i="10"/>
  <c r="J121" i="10"/>
  <c r="L120" i="10"/>
  <c r="J120" i="10"/>
  <c r="L119" i="10"/>
  <c r="J119" i="10"/>
  <c r="L118" i="10"/>
  <c r="J118" i="10"/>
  <c r="L117" i="10"/>
  <c r="J117" i="10"/>
  <c r="L116" i="10"/>
  <c r="J116" i="10"/>
  <c r="L115" i="10"/>
  <c r="J115" i="10"/>
  <c r="L114" i="10"/>
  <c r="J114" i="10"/>
  <c r="L113" i="10"/>
  <c r="J113" i="10"/>
  <c r="L112" i="10"/>
  <c r="J112" i="10"/>
  <c r="L107" i="10"/>
  <c r="J107" i="10"/>
  <c r="L106" i="10"/>
  <c r="J106" i="10"/>
  <c r="L105" i="10"/>
  <c r="J105" i="10"/>
  <c r="L104" i="10"/>
  <c r="J104" i="10"/>
  <c r="L103" i="10"/>
  <c r="J103" i="10"/>
  <c r="L102" i="10"/>
  <c r="J102" i="10"/>
  <c r="L101" i="10"/>
  <c r="J101" i="10"/>
  <c r="L100" i="10"/>
  <c r="J100" i="10"/>
  <c r="L99" i="10"/>
  <c r="J99" i="10"/>
  <c r="L98" i="10"/>
  <c r="J98" i="10"/>
  <c r="L97" i="10"/>
  <c r="J97" i="10"/>
  <c r="L96" i="10"/>
  <c r="J96" i="10"/>
  <c r="L89" i="10"/>
  <c r="J89" i="10"/>
  <c r="L88" i="10"/>
  <c r="J88" i="10"/>
  <c r="L87" i="10"/>
  <c r="J87" i="10"/>
  <c r="L86" i="10"/>
  <c r="J86" i="10"/>
  <c r="L85" i="10"/>
  <c r="J85" i="10"/>
  <c r="L84" i="10"/>
  <c r="J84" i="10"/>
  <c r="L83" i="10"/>
  <c r="J83" i="10"/>
  <c r="L82" i="10"/>
  <c r="J82" i="10"/>
  <c r="L81" i="10"/>
  <c r="J81" i="10"/>
  <c r="L80" i="10"/>
  <c r="J80" i="10"/>
  <c r="L79" i="10"/>
  <c r="J79" i="10"/>
  <c r="L78" i="10"/>
  <c r="J78" i="10"/>
  <c r="L77" i="10"/>
  <c r="J77" i="10"/>
  <c r="L76" i="10"/>
  <c r="J76" i="10"/>
  <c r="L75" i="10"/>
  <c r="J75" i="10"/>
  <c r="L74" i="10"/>
  <c r="J74" i="10"/>
  <c r="L69" i="10"/>
  <c r="J69" i="10"/>
  <c r="L68" i="10"/>
  <c r="J68" i="10"/>
  <c r="L67" i="10"/>
  <c r="J67" i="10"/>
  <c r="L66" i="10"/>
  <c r="J66" i="10"/>
  <c r="L65" i="10"/>
  <c r="J65" i="10"/>
  <c r="L64" i="10"/>
  <c r="J64" i="10"/>
  <c r="L63" i="10"/>
  <c r="J63" i="10"/>
  <c r="L62" i="10"/>
  <c r="J62" i="10"/>
  <c r="L61" i="10"/>
  <c r="J61" i="10"/>
  <c r="L60" i="10"/>
  <c r="J60" i="10"/>
  <c r="L59" i="10"/>
  <c r="J59" i="10"/>
  <c r="L58" i="10"/>
  <c r="J58" i="10"/>
  <c r="L57" i="10"/>
  <c r="J57" i="10"/>
  <c r="L56" i="10"/>
  <c r="J56" i="10"/>
  <c r="L51" i="10"/>
  <c r="J51" i="10"/>
  <c r="L50" i="10"/>
  <c r="J50" i="10"/>
  <c r="L49" i="10"/>
  <c r="J49" i="10"/>
  <c r="L48" i="10"/>
  <c r="J48" i="10"/>
  <c r="L47" i="10"/>
  <c r="J47" i="10"/>
  <c r="L46" i="10"/>
  <c r="J46" i="10"/>
  <c r="L45" i="10"/>
  <c r="J45" i="10"/>
  <c r="L44" i="10"/>
  <c r="J44" i="10"/>
  <c r="L43" i="10"/>
  <c r="J43" i="10"/>
  <c r="L40" i="10"/>
  <c r="J40" i="10"/>
  <c r="L39" i="10"/>
  <c r="J39" i="10"/>
  <c r="L38" i="10"/>
  <c r="J38" i="10"/>
  <c r="L37" i="10"/>
  <c r="J37" i="10"/>
  <c r="L36" i="10"/>
  <c r="J36" i="10"/>
  <c r="L35" i="10"/>
  <c r="J35" i="10"/>
  <c r="L34" i="10"/>
  <c r="J34" i="10"/>
  <c r="L33" i="10"/>
  <c r="J33" i="10"/>
  <c r="L32" i="10"/>
  <c r="J32" i="10"/>
  <c r="L30" i="10"/>
  <c r="J30" i="10"/>
  <c r="L29" i="10"/>
  <c r="J29" i="10"/>
  <c r="L28" i="10"/>
  <c r="J28" i="10"/>
  <c r="L27" i="10"/>
  <c r="J27" i="10"/>
  <c r="L26" i="10"/>
  <c r="J26" i="10"/>
  <c r="L25" i="10"/>
  <c r="J25" i="10"/>
  <c r="L24" i="10"/>
  <c r="J24" i="10"/>
  <c r="L23" i="10"/>
  <c r="J23" i="10"/>
  <c r="L22" i="10"/>
  <c r="J22" i="10"/>
  <c r="L21" i="10"/>
  <c r="J21" i="10"/>
  <c r="L20" i="10"/>
  <c r="J20" i="10"/>
  <c r="L15" i="10"/>
  <c r="J15" i="10"/>
  <c r="L14" i="10"/>
  <c r="J14" i="10"/>
  <c r="L13" i="10"/>
  <c r="J13" i="10"/>
  <c r="L12" i="10"/>
  <c r="J12" i="10"/>
  <c r="L204" i="10"/>
  <c r="L190" i="10"/>
  <c r="L176" i="10"/>
  <c r="L162" i="10"/>
  <c r="L145" i="10"/>
  <c r="L132" i="10"/>
  <c r="L111" i="10"/>
  <c r="L95" i="10"/>
  <c r="L73" i="10"/>
  <c r="L55" i="10"/>
  <c r="L11" i="10"/>
  <c r="L152" i="9"/>
  <c r="J152" i="9"/>
  <c r="L151" i="9"/>
  <c r="J151" i="9"/>
  <c r="L150" i="9"/>
  <c r="J150" i="9"/>
  <c r="L149" i="9"/>
  <c r="J149" i="9"/>
  <c r="L148" i="9"/>
  <c r="J148" i="9"/>
  <c r="L147" i="9"/>
  <c r="J147" i="9"/>
  <c r="L146" i="9"/>
  <c r="J146" i="9"/>
  <c r="L145" i="9"/>
  <c r="J145" i="9"/>
  <c r="L144" i="9"/>
  <c r="J144" i="9"/>
  <c r="L143" i="9"/>
  <c r="J143" i="9"/>
  <c r="L142" i="9"/>
  <c r="J142" i="9"/>
  <c r="L141" i="9"/>
  <c r="J141" i="9"/>
  <c r="L136" i="9"/>
  <c r="J136" i="9"/>
  <c r="L135" i="9"/>
  <c r="J135" i="9"/>
  <c r="L134" i="9"/>
  <c r="J134" i="9"/>
  <c r="L133" i="9"/>
  <c r="J133" i="9"/>
  <c r="L132" i="9"/>
  <c r="J132" i="9"/>
  <c r="L131" i="9"/>
  <c r="J131" i="9"/>
  <c r="L130" i="9"/>
  <c r="J130" i="9"/>
  <c r="L129" i="9"/>
  <c r="J129" i="9"/>
  <c r="L128" i="9"/>
  <c r="J128" i="9"/>
  <c r="L127" i="9"/>
  <c r="J127" i="9"/>
  <c r="L122" i="9"/>
  <c r="J122" i="9"/>
  <c r="L121" i="9"/>
  <c r="J121" i="9"/>
  <c r="L120" i="9"/>
  <c r="J120" i="9"/>
  <c r="L119" i="9"/>
  <c r="J119" i="9"/>
  <c r="L118" i="9"/>
  <c r="J118" i="9"/>
  <c r="L117" i="9"/>
  <c r="J117" i="9"/>
  <c r="L116" i="9"/>
  <c r="J116" i="9"/>
  <c r="L115" i="9"/>
  <c r="J115" i="9"/>
  <c r="L114" i="9"/>
  <c r="J114" i="9"/>
  <c r="L113" i="9"/>
  <c r="J113" i="9"/>
  <c r="L106" i="9"/>
  <c r="J106" i="9"/>
  <c r="L105" i="9"/>
  <c r="J105" i="9"/>
  <c r="L104" i="9"/>
  <c r="J104" i="9"/>
  <c r="L103" i="9"/>
  <c r="J103" i="9"/>
  <c r="L102" i="9"/>
  <c r="J102" i="9"/>
  <c r="L101" i="9"/>
  <c r="J101" i="9"/>
  <c r="L100" i="9"/>
  <c r="J100" i="9"/>
  <c r="L99" i="9"/>
  <c r="J99" i="9"/>
  <c r="L98" i="9"/>
  <c r="J98" i="9"/>
  <c r="L97" i="9"/>
  <c r="J97" i="9"/>
  <c r="L96" i="9"/>
  <c r="J96" i="9"/>
  <c r="L95" i="9"/>
  <c r="J95" i="9"/>
  <c r="L94" i="9"/>
  <c r="J94" i="9"/>
  <c r="L93" i="9"/>
  <c r="J93" i="9"/>
  <c r="L92" i="9"/>
  <c r="J92" i="9"/>
  <c r="L91" i="9"/>
  <c r="J91" i="9"/>
  <c r="L90" i="9"/>
  <c r="J90" i="9"/>
  <c r="L89" i="9"/>
  <c r="J89" i="9"/>
  <c r="L88" i="9"/>
  <c r="J88" i="9"/>
  <c r="L87" i="9"/>
  <c r="J87" i="9"/>
  <c r="L82" i="9"/>
  <c r="J82" i="9"/>
  <c r="L81" i="9"/>
  <c r="J81" i="9"/>
  <c r="L80" i="9"/>
  <c r="J80" i="9"/>
  <c r="L79" i="9"/>
  <c r="J79" i="9"/>
  <c r="L78" i="9"/>
  <c r="J78" i="9"/>
  <c r="L77" i="9"/>
  <c r="J77" i="9"/>
  <c r="L76" i="9"/>
  <c r="J76" i="9"/>
  <c r="L75" i="9"/>
  <c r="J75" i="9"/>
  <c r="L74" i="9"/>
  <c r="J74" i="9"/>
  <c r="L73" i="9"/>
  <c r="J73" i="9"/>
  <c r="L72" i="9"/>
  <c r="J72" i="9"/>
  <c r="L71" i="9"/>
  <c r="J71" i="9"/>
  <c r="L70" i="9"/>
  <c r="J70" i="9"/>
  <c r="L69" i="9"/>
  <c r="J69" i="9"/>
  <c r="L68" i="9"/>
  <c r="J68" i="9"/>
  <c r="L67" i="9"/>
  <c r="J67" i="9"/>
  <c r="L62" i="9"/>
  <c r="J62" i="9"/>
  <c r="L61" i="9"/>
  <c r="J61" i="9"/>
  <c r="L60" i="9"/>
  <c r="J60" i="9"/>
  <c r="L59" i="9"/>
  <c r="J59" i="9"/>
  <c r="L58" i="9"/>
  <c r="J58" i="9"/>
  <c r="L57" i="9"/>
  <c r="J57" i="9"/>
  <c r="L56" i="9"/>
  <c r="J56" i="9"/>
  <c r="L55" i="9"/>
  <c r="J55" i="9"/>
  <c r="L54" i="9"/>
  <c r="J54" i="9"/>
  <c r="L53" i="9"/>
  <c r="J53" i="9"/>
  <c r="L52" i="9"/>
  <c r="J52" i="9"/>
  <c r="L51" i="9"/>
  <c r="J51" i="9"/>
  <c r="L50" i="9"/>
  <c r="J50" i="9"/>
  <c r="L49" i="9"/>
  <c r="J49" i="9"/>
  <c r="L48" i="9"/>
  <c r="J48" i="9"/>
  <c r="L47" i="9"/>
  <c r="J47" i="9"/>
  <c r="L42" i="9"/>
  <c r="J42" i="9"/>
  <c r="L41" i="9"/>
  <c r="J41" i="9"/>
  <c r="L40" i="9"/>
  <c r="J40" i="9"/>
  <c r="L39" i="9"/>
  <c r="J39" i="9"/>
  <c r="L38" i="9"/>
  <c r="J38" i="9"/>
  <c r="L37" i="9"/>
  <c r="J37" i="9"/>
  <c r="L36" i="9"/>
  <c r="J36" i="9"/>
  <c r="L35" i="9"/>
  <c r="J35" i="9"/>
  <c r="L34" i="9"/>
  <c r="J34" i="9"/>
  <c r="L33" i="9"/>
  <c r="J33" i="9"/>
  <c r="L32" i="9"/>
  <c r="J32" i="9"/>
  <c r="L31" i="9"/>
  <c r="J31" i="9"/>
  <c r="L30" i="9"/>
  <c r="J30" i="9"/>
  <c r="L25" i="9"/>
  <c r="J25" i="9"/>
  <c r="L24" i="9"/>
  <c r="J24" i="9"/>
  <c r="L23" i="9"/>
  <c r="J23" i="9"/>
  <c r="L22" i="9"/>
  <c r="J22" i="9"/>
  <c r="L21" i="9"/>
  <c r="J21" i="9"/>
  <c r="L20" i="9"/>
  <c r="J20" i="9"/>
  <c r="L19" i="9"/>
  <c r="J19" i="9"/>
  <c r="L18" i="9"/>
  <c r="J18" i="9"/>
  <c r="L17" i="9"/>
  <c r="J17" i="9"/>
  <c r="L16" i="9"/>
  <c r="J16" i="9"/>
  <c r="L15" i="9"/>
  <c r="J15" i="9"/>
  <c r="L14" i="9"/>
  <c r="J14" i="9"/>
  <c r="L13" i="9"/>
  <c r="J13" i="9"/>
  <c r="L12" i="9"/>
  <c r="J12" i="9"/>
  <c r="L140" i="9"/>
  <c r="L126" i="9"/>
  <c r="L112" i="9"/>
  <c r="L86" i="9"/>
  <c r="L66" i="9"/>
  <c r="L46" i="9"/>
  <c r="L29" i="9"/>
  <c r="L11" i="9"/>
  <c r="L118" i="8"/>
  <c r="J118" i="8"/>
  <c r="L117" i="8"/>
  <c r="J117" i="8"/>
  <c r="L116" i="8"/>
  <c r="J116" i="8"/>
  <c r="L115" i="8"/>
  <c r="J115" i="8"/>
  <c r="L114" i="8"/>
  <c r="J114" i="8"/>
  <c r="L113" i="8"/>
  <c r="J113" i="8"/>
  <c r="L112" i="8"/>
  <c r="J112" i="8"/>
  <c r="L111" i="8"/>
  <c r="J111" i="8"/>
  <c r="L110" i="8"/>
  <c r="J110" i="8"/>
  <c r="L109" i="8"/>
  <c r="J109" i="8"/>
  <c r="L108" i="8"/>
  <c r="J108" i="8"/>
  <c r="L107" i="8"/>
  <c r="J107" i="8"/>
  <c r="L106" i="8"/>
  <c r="J106" i="8"/>
  <c r="L105" i="8"/>
  <c r="J105" i="8"/>
  <c r="L104" i="8"/>
  <c r="J104" i="8"/>
  <c r="L99" i="8"/>
  <c r="J99" i="8"/>
  <c r="L98" i="8"/>
  <c r="J98" i="8"/>
  <c r="L97" i="8"/>
  <c r="J97" i="8"/>
  <c r="L96" i="8"/>
  <c r="J96" i="8"/>
  <c r="L95" i="8"/>
  <c r="J95" i="8"/>
  <c r="L94" i="8"/>
  <c r="J94" i="8"/>
  <c r="L93" i="8"/>
  <c r="J93" i="8"/>
  <c r="L92" i="8"/>
  <c r="J92" i="8"/>
  <c r="L91" i="8"/>
  <c r="J91" i="8"/>
  <c r="L90" i="8"/>
  <c r="J90" i="8"/>
  <c r="L89" i="8"/>
  <c r="J89" i="8"/>
  <c r="L88" i="8"/>
  <c r="J88" i="8"/>
  <c r="L87" i="8"/>
  <c r="J87" i="8"/>
  <c r="L86" i="8"/>
  <c r="J86" i="8"/>
  <c r="L85" i="8"/>
  <c r="J85" i="8"/>
  <c r="L84" i="8"/>
  <c r="J84" i="8"/>
  <c r="L83" i="8"/>
  <c r="J83" i="8"/>
  <c r="L76" i="8"/>
  <c r="J76" i="8"/>
  <c r="L75" i="8"/>
  <c r="J75" i="8"/>
  <c r="L74" i="8"/>
  <c r="J74" i="8"/>
  <c r="L73" i="8"/>
  <c r="J73" i="8"/>
  <c r="L72" i="8"/>
  <c r="J72" i="8"/>
  <c r="L71" i="8"/>
  <c r="J71" i="8"/>
  <c r="L70" i="8"/>
  <c r="J70" i="8"/>
  <c r="L69" i="8"/>
  <c r="J69" i="8"/>
  <c r="L68" i="8"/>
  <c r="J68" i="8"/>
  <c r="L67" i="8"/>
  <c r="J67" i="8"/>
  <c r="L66" i="8"/>
  <c r="J66" i="8"/>
  <c r="L65" i="8"/>
  <c r="J65" i="8"/>
  <c r="L60" i="8"/>
  <c r="J60" i="8"/>
  <c r="L59" i="8"/>
  <c r="J59" i="8"/>
  <c r="L58" i="8"/>
  <c r="J58" i="8"/>
  <c r="L57" i="8"/>
  <c r="J57" i="8"/>
  <c r="L56" i="8"/>
  <c r="J56" i="8"/>
  <c r="L55" i="8"/>
  <c r="J55" i="8"/>
  <c r="L54" i="8"/>
  <c r="J54" i="8"/>
  <c r="L53" i="8"/>
  <c r="J53" i="8"/>
  <c r="L52" i="8"/>
  <c r="J52" i="8"/>
  <c r="L51" i="8"/>
  <c r="J51" i="8"/>
  <c r="L50" i="8"/>
  <c r="J50" i="8"/>
  <c r="L49" i="8"/>
  <c r="J49" i="8"/>
  <c r="L48" i="8"/>
  <c r="J48" i="8"/>
  <c r="L47" i="8"/>
  <c r="J47" i="8"/>
  <c r="L40" i="8"/>
  <c r="J40" i="8"/>
  <c r="L39" i="8"/>
  <c r="J39" i="8"/>
  <c r="L38" i="8"/>
  <c r="J38" i="8"/>
  <c r="L37" i="8"/>
  <c r="J37" i="8"/>
  <c r="L36" i="8"/>
  <c r="J36" i="8"/>
  <c r="L35" i="8"/>
  <c r="J35" i="8"/>
  <c r="L34" i="8"/>
  <c r="J34" i="8"/>
  <c r="L33" i="8"/>
  <c r="J33" i="8"/>
  <c r="L32" i="8"/>
  <c r="J32" i="8"/>
  <c r="L31" i="8"/>
  <c r="J31" i="8"/>
  <c r="L30" i="8"/>
  <c r="J30" i="8"/>
  <c r="L29" i="8"/>
  <c r="J29" i="8"/>
  <c r="L28" i="8"/>
  <c r="J28" i="8"/>
  <c r="L27" i="8"/>
  <c r="J27" i="8"/>
  <c r="L26" i="8"/>
  <c r="J26" i="8"/>
  <c r="L21" i="8"/>
  <c r="J21" i="8"/>
  <c r="L20" i="8"/>
  <c r="J20" i="8"/>
  <c r="L19" i="8"/>
  <c r="J19" i="8"/>
  <c r="L18" i="8"/>
  <c r="J18" i="8"/>
  <c r="L17" i="8"/>
  <c r="J17" i="8"/>
  <c r="L16" i="8"/>
  <c r="J16" i="8"/>
  <c r="L15" i="8"/>
  <c r="J15" i="8"/>
  <c r="L14" i="8"/>
  <c r="J14" i="8"/>
  <c r="L13" i="8"/>
  <c r="J13" i="8"/>
  <c r="L12" i="8"/>
  <c r="J12" i="8"/>
  <c r="L103" i="8"/>
  <c r="L82" i="8"/>
  <c r="L64" i="8"/>
  <c r="L46" i="8"/>
  <c r="L25" i="8"/>
  <c r="L11" i="8"/>
  <c r="L75" i="7"/>
  <c r="J75" i="7"/>
  <c r="L74" i="7"/>
  <c r="J74" i="7"/>
  <c r="L73" i="7"/>
  <c r="J73" i="7"/>
  <c r="L72" i="7"/>
  <c r="J72" i="7"/>
  <c r="L71" i="7"/>
  <c r="J71" i="7"/>
  <c r="L70" i="7"/>
  <c r="J70" i="7"/>
  <c r="L69" i="7"/>
  <c r="J69" i="7"/>
  <c r="L68" i="7"/>
  <c r="J68" i="7"/>
  <c r="L67" i="7"/>
  <c r="J67" i="7"/>
  <c r="L66" i="7"/>
  <c r="J66" i="7"/>
  <c r="L65" i="7"/>
  <c r="J65" i="7"/>
  <c r="L64" i="7"/>
  <c r="J64" i="7"/>
  <c r="L63" i="7"/>
  <c r="J63" i="7"/>
  <c r="L58" i="7"/>
  <c r="J58" i="7"/>
  <c r="L57" i="7"/>
  <c r="J57" i="7"/>
  <c r="L56" i="7"/>
  <c r="J56" i="7"/>
  <c r="L55" i="7"/>
  <c r="J55" i="7"/>
  <c r="L54" i="7"/>
  <c r="J54" i="7"/>
  <c r="L53" i="7"/>
  <c r="J53" i="7"/>
  <c r="L52" i="7"/>
  <c r="J52" i="7"/>
  <c r="L51" i="7"/>
  <c r="J51" i="7"/>
  <c r="L50" i="7"/>
  <c r="J50" i="7"/>
  <c r="L49" i="7"/>
  <c r="J49" i="7"/>
  <c r="L48" i="7"/>
  <c r="J48" i="7"/>
  <c r="L47" i="7"/>
  <c r="J47" i="7"/>
  <c r="L40" i="7"/>
  <c r="J40" i="7"/>
  <c r="L39" i="7"/>
  <c r="J39" i="7"/>
  <c r="L38" i="7"/>
  <c r="J38" i="7"/>
  <c r="L37" i="7"/>
  <c r="J37" i="7"/>
  <c r="L36" i="7"/>
  <c r="J36" i="7"/>
  <c r="L35" i="7"/>
  <c r="J35" i="7"/>
  <c r="L34" i="7"/>
  <c r="J34" i="7"/>
  <c r="L33" i="7"/>
  <c r="J33" i="7"/>
  <c r="L32" i="7"/>
  <c r="J32" i="7"/>
  <c r="L31" i="7"/>
  <c r="J31" i="7"/>
  <c r="L30" i="7"/>
  <c r="J30" i="7"/>
  <c r="L29" i="7"/>
  <c r="J29" i="7"/>
  <c r="L28" i="7"/>
  <c r="J28" i="7"/>
  <c r="L27" i="7"/>
  <c r="J27" i="7"/>
  <c r="L26" i="7"/>
  <c r="J26" i="7"/>
  <c r="L25" i="7"/>
  <c r="J25" i="7"/>
  <c r="L24" i="7"/>
  <c r="J24" i="7"/>
  <c r="L19" i="7"/>
  <c r="J19" i="7"/>
  <c r="L18" i="7"/>
  <c r="J18" i="7"/>
  <c r="L17" i="7"/>
  <c r="J17" i="7"/>
  <c r="L16" i="7"/>
  <c r="J16" i="7"/>
  <c r="L15" i="7"/>
  <c r="J15" i="7"/>
  <c r="L14" i="7"/>
  <c r="J14" i="7"/>
  <c r="L13" i="7"/>
  <c r="J13" i="7"/>
  <c r="L12" i="7"/>
  <c r="J12" i="7"/>
  <c r="L62" i="7"/>
  <c r="L46" i="7"/>
  <c r="L23" i="7"/>
  <c r="L11" i="7"/>
  <c r="L134" i="6"/>
  <c r="J134" i="6"/>
  <c r="L133" i="6"/>
  <c r="J133" i="6"/>
  <c r="L132" i="6"/>
  <c r="J132" i="6"/>
  <c r="L131" i="6"/>
  <c r="J131" i="6"/>
  <c r="L130" i="6"/>
  <c r="J130" i="6"/>
  <c r="L129" i="6"/>
  <c r="L125" i="6"/>
  <c r="J125" i="6"/>
  <c r="L124" i="6"/>
  <c r="J124" i="6"/>
  <c r="L123" i="6"/>
  <c r="J123" i="6"/>
  <c r="L122" i="6"/>
  <c r="J122" i="6"/>
  <c r="L121" i="6"/>
  <c r="J121" i="6"/>
  <c r="L120" i="6"/>
  <c r="J120" i="6"/>
  <c r="L119" i="6"/>
  <c r="J119" i="6"/>
  <c r="L113" i="6"/>
  <c r="J113" i="6"/>
  <c r="L112" i="6"/>
  <c r="J112" i="6"/>
  <c r="L111" i="6"/>
  <c r="J111" i="6"/>
  <c r="L110" i="6"/>
  <c r="J110" i="6"/>
  <c r="L109" i="6"/>
  <c r="J109" i="6"/>
  <c r="L108" i="6"/>
  <c r="J108" i="6"/>
  <c r="L107" i="6"/>
  <c r="J107" i="6"/>
  <c r="L106" i="6"/>
  <c r="J106" i="6"/>
  <c r="L101" i="6"/>
  <c r="J101" i="6"/>
  <c r="L100" i="6"/>
  <c r="J100" i="6"/>
  <c r="L99" i="6"/>
  <c r="J99" i="6"/>
  <c r="L98" i="6"/>
  <c r="J98" i="6"/>
  <c r="L97" i="6"/>
  <c r="J97" i="6"/>
  <c r="L96" i="6"/>
  <c r="J96" i="6"/>
  <c r="L95" i="6"/>
  <c r="J95" i="6"/>
  <c r="L94" i="6"/>
  <c r="J94" i="6"/>
  <c r="L93" i="6"/>
  <c r="J93" i="6"/>
  <c r="L92" i="6"/>
  <c r="J92" i="6"/>
  <c r="L91" i="6"/>
  <c r="J91" i="6"/>
  <c r="L90" i="6"/>
  <c r="J90" i="6"/>
  <c r="L89" i="6"/>
  <c r="J89" i="6"/>
  <c r="L88" i="6"/>
  <c r="J88" i="6"/>
  <c r="L87" i="6"/>
  <c r="J87" i="6"/>
  <c r="L80" i="6"/>
  <c r="J80" i="6"/>
  <c r="L79" i="6"/>
  <c r="J79" i="6"/>
  <c r="L78" i="6"/>
  <c r="J78" i="6"/>
  <c r="L77" i="6"/>
  <c r="J77" i="6"/>
  <c r="L76" i="6"/>
  <c r="J76" i="6"/>
  <c r="L75" i="6"/>
  <c r="J75" i="6"/>
  <c r="L74" i="6"/>
  <c r="J74" i="6"/>
  <c r="L69" i="6"/>
  <c r="J69" i="6"/>
  <c r="L68" i="6"/>
  <c r="J68" i="6"/>
  <c r="L67" i="6"/>
  <c r="J67" i="6"/>
  <c r="L66" i="6"/>
  <c r="J66" i="6"/>
  <c r="L65" i="6"/>
  <c r="J65" i="6"/>
  <c r="L64" i="6"/>
  <c r="J64" i="6"/>
  <c r="L63" i="6"/>
  <c r="J63" i="6"/>
  <c r="L62" i="6"/>
  <c r="J62" i="6"/>
  <c r="L61" i="6"/>
  <c r="J61" i="6"/>
  <c r="L56" i="6"/>
  <c r="J56" i="6"/>
  <c r="L55" i="6"/>
  <c r="J55" i="6"/>
  <c r="L54" i="6"/>
  <c r="J54" i="6"/>
  <c r="L53" i="6"/>
  <c r="J53" i="6"/>
  <c r="L52" i="6"/>
  <c r="J52" i="6"/>
  <c r="L51" i="6"/>
  <c r="J51" i="6"/>
  <c r="L50" i="6"/>
  <c r="J50" i="6"/>
  <c r="L49" i="6"/>
  <c r="J49" i="6"/>
  <c r="L44" i="6"/>
  <c r="J44" i="6"/>
  <c r="L43" i="6"/>
  <c r="J43" i="6"/>
  <c r="L42" i="6"/>
  <c r="J42" i="6"/>
  <c r="L41" i="6"/>
  <c r="J41" i="6"/>
  <c r="L40" i="6"/>
  <c r="J40" i="6"/>
  <c r="L39" i="6"/>
  <c r="J39" i="6"/>
  <c r="L33" i="6"/>
  <c r="J33" i="6"/>
  <c r="L32" i="6"/>
  <c r="J32" i="6"/>
  <c r="L31" i="6"/>
  <c r="J31" i="6"/>
  <c r="L26" i="6"/>
  <c r="J26" i="6"/>
  <c r="L25" i="6"/>
  <c r="J25" i="6"/>
  <c r="L24" i="6"/>
  <c r="J24" i="6"/>
  <c r="L18" i="6"/>
  <c r="J18" i="6"/>
  <c r="L17" i="6"/>
  <c r="J17" i="6"/>
  <c r="L16" i="6"/>
  <c r="J16" i="6"/>
  <c r="L15" i="6"/>
  <c r="J15" i="6"/>
  <c r="L14" i="6"/>
  <c r="J14" i="6"/>
  <c r="L13" i="6"/>
  <c r="J13" i="6"/>
  <c r="L117" i="6"/>
  <c r="L105" i="6"/>
  <c r="L86" i="6"/>
  <c r="L73" i="6"/>
  <c r="L60" i="6"/>
  <c r="L48" i="6"/>
  <c r="L37" i="6"/>
  <c r="L30" i="6"/>
  <c r="L22" i="6"/>
  <c r="L11" i="6"/>
  <c r="L162" i="5"/>
  <c r="J162" i="5"/>
  <c r="L161" i="5"/>
  <c r="J161" i="5"/>
  <c r="L160" i="5"/>
  <c r="J160" i="5"/>
  <c r="L159" i="5"/>
  <c r="J159" i="5"/>
  <c r="L158" i="5"/>
  <c r="J158" i="5"/>
  <c r="L157" i="5"/>
  <c r="J157" i="5"/>
  <c r="L156" i="5"/>
  <c r="J156" i="5"/>
  <c r="L155" i="5"/>
  <c r="J155" i="5"/>
  <c r="L154" i="5"/>
  <c r="J154" i="5"/>
  <c r="L153" i="5"/>
  <c r="J153" i="5"/>
  <c r="L152" i="5"/>
  <c r="J152" i="5"/>
  <c r="L151" i="5"/>
  <c r="J151" i="5"/>
  <c r="L146" i="5"/>
  <c r="J146" i="5"/>
  <c r="L145" i="5"/>
  <c r="J145" i="5"/>
  <c r="L142" i="5"/>
  <c r="J142" i="5"/>
  <c r="L141" i="5"/>
  <c r="J141" i="5"/>
  <c r="L140" i="5"/>
  <c r="J140" i="5"/>
  <c r="L137" i="5"/>
  <c r="J137" i="5"/>
  <c r="L136" i="5"/>
  <c r="J136" i="5"/>
  <c r="L134" i="5"/>
  <c r="J134" i="5"/>
  <c r="L133" i="5"/>
  <c r="J133" i="5"/>
  <c r="L132" i="5"/>
  <c r="J132" i="5"/>
  <c r="L131" i="5"/>
  <c r="J131" i="5"/>
  <c r="L130" i="5"/>
  <c r="J130" i="5"/>
  <c r="L129" i="5"/>
  <c r="J129" i="5"/>
  <c r="L128" i="5"/>
  <c r="J128" i="5"/>
  <c r="L127" i="5"/>
  <c r="J127" i="5"/>
  <c r="L126" i="5"/>
  <c r="J126" i="5"/>
  <c r="L124" i="5"/>
  <c r="J124" i="5"/>
  <c r="L123" i="5"/>
  <c r="J123" i="5"/>
  <c r="L116" i="5"/>
  <c r="J116" i="5"/>
  <c r="L115" i="5"/>
  <c r="J115" i="5"/>
  <c r="L114" i="5"/>
  <c r="J114" i="5"/>
  <c r="L113" i="5"/>
  <c r="J113" i="5"/>
  <c r="L112" i="5"/>
  <c r="J112" i="5"/>
  <c r="L111" i="5"/>
  <c r="J111" i="5"/>
  <c r="L110" i="5"/>
  <c r="J110" i="5"/>
  <c r="L109" i="5"/>
  <c r="J109" i="5"/>
  <c r="L108" i="5"/>
  <c r="J108" i="5"/>
  <c r="L103" i="5"/>
  <c r="J103" i="5"/>
  <c r="L102" i="5"/>
  <c r="J102" i="5"/>
  <c r="L101" i="5"/>
  <c r="J101" i="5"/>
  <c r="L100" i="5"/>
  <c r="J100" i="5"/>
  <c r="L99" i="5"/>
  <c r="J99" i="5"/>
  <c r="L98" i="5"/>
  <c r="J98" i="5"/>
  <c r="L97" i="5"/>
  <c r="J97" i="5"/>
  <c r="L96" i="5"/>
  <c r="J96" i="5"/>
  <c r="L89" i="5"/>
  <c r="J89" i="5"/>
  <c r="L88" i="5"/>
  <c r="J88" i="5"/>
  <c r="L87" i="5"/>
  <c r="J87" i="5"/>
  <c r="L86" i="5"/>
  <c r="J86" i="5"/>
  <c r="L85" i="5"/>
  <c r="J85" i="5"/>
  <c r="L82" i="5"/>
  <c r="J82" i="5"/>
  <c r="L81" i="5"/>
  <c r="J81" i="5"/>
  <c r="L80" i="5"/>
  <c r="J80" i="5"/>
  <c r="L78" i="5"/>
  <c r="J78" i="5"/>
  <c r="L77" i="5"/>
  <c r="J77" i="5"/>
  <c r="L76" i="5"/>
  <c r="J76" i="5"/>
  <c r="L75" i="5"/>
  <c r="J75" i="5"/>
  <c r="L74" i="5"/>
  <c r="J74" i="5"/>
  <c r="L73" i="5"/>
  <c r="J73" i="5"/>
  <c r="L72" i="5"/>
  <c r="J72" i="5"/>
  <c r="L71" i="5"/>
  <c r="J71" i="5"/>
  <c r="L69" i="5"/>
  <c r="J69" i="5"/>
  <c r="L68" i="5"/>
  <c r="J68" i="5"/>
  <c r="L67" i="5"/>
  <c r="J67" i="5"/>
  <c r="L66" i="5"/>
  <c r="J66" i="5"/>
  <c r="L65" i="5"/>
  <c r="J65" i="5"/>
  <c r="L64" i="5"/>
  <c r="J64" i="5"/>
  <c r="L63" i="5"/>
  <c r="J63" i="5"/>
  <c r="L62" i="5"/>
  <c r="J62" i="5"/>
  <c r="L61" i="5"/>
  <c r="J61" i="5"/>
  <c r="L59" i="5"/>
  <c r="J59" i="5"/>
  <c r="L58" i="5"/>
  <c r="J58" i="5"/>
  <c r="L53" i="5"/>
  <c r="J53" i="5"/>
  <c r="L52" i="5"/>
  <c r="J52" i="5"/>
  <c r="L51" i="5"/>
  <c r="J51" i="5"/>
  <c r="L50" i="5"/>
  <c r="J50" i="5"/>
  <c r="L49" i="5"/>
  <c r="J49" i="5"/>
  <c r="L48" i="5"/>
  <c r="J48" i="5"/>
  <c r="L47" i="5"/>
  <c r="J47" i="5"/>
  <c r="L46" i="5"/>
  <c r="J46" i="5"/>
  <c r="L45" i="5"/>
  <c r="J45" i="5"/>
  <c r="L40" i="5"/>
  <c r="J40" i="5"/>
  <c r="L39" i="5"/>
  <c r="J39" i="5"/>
  <c r="L38" i="5"/>
  <c r="J38" i="5"/>
  <c r="L37" i="5"/>
  <c r="J37" i="5"/>
  <c r="L36" i="5"/>
  <c r="J36" i="5"/>
  <c r="L35" i="5"/>
  <c r="J35" i="5"/>
  <c r="L34" i="5"/>
  <c r="J34" i="5"/>
  <c r="L33" i="5"/>
  <c r="J33" i="5"/>
  <c r="L32" i="5"/>
  <c r="J32" i="5"/>
  <c r="L31" i="5"/>
  <c r="J31" i="5"/>
  <c r="L30" i="5"/>
  <c r="J30" i="5"/>
  <c r="L29" i="5"/>
  <c r="J29" i="5"/>
  <c r="L24" i="5"/>
  <c r="J24" i="5"/>
  <c r="L23" i="5"/>
  <c r="J23" i="5"/>
  <c r="L22" i="5"/>
  <c r="J22" i="5"/>
  <c r="L21" i="5"/>
  <c r="J21" i="5"/>
  <c r="L20" i="5"/>
  <c r="J20" i="5"/>
  <c r="L19" i="5"/>
  <c r="J19" i="5"/>
  <c r="L18" i="5"/>
  <c r="J18" i="5"/>
  <c r="L17" i="5"/>
  <c r="J17" i="5"/>
  <c r="L16" i="5"/>
  <c r="J16" i="5"/>
  <c r="L15" i="5"/>
  <c r="J15" i="5"/>
  <c r="L14" i="5"/>
  <c r="J14" i="5"/>
  <c r="L13" i="5"/>
  <c r="J13" i="5"/>
  <c r="L12" i="5"/>
  <c r="J12" i="5"/>
  <c r="L150" i="5"/>
  <c r="L122" i="5"/>
  <c r="L107" i="5"/>
  <c r="L95" i="5"/>
  <c r="L57" i="5"/>
  <c r="L44" i="5"/>
  <c r="L28" i="5"/>
  <c r="L11" i="5"/>
  <c r="C126" i="1"/>
  <c r="C127" i="1" s="1"/>
  <c r="C128" i="1" s="1"/>
  <c r="C122" i="1"/>
  <c r="C123" i="1" s="1"/>
  <c r="C124" i="1" s="1"/>
  <c r="C125" i="1" s="1"/>
  <c r="C119" i="1"/>
  <c r="C120" i="1" s="1"/>
  <c r="C121" i="1" s="1"/>
  <c r="C115" i="1"/>
  <c r="C116" i="1" s="1"/>
  <c r="C117" i="1" s="1"/>
  <c r="C118" i="1" s="1"/>
  <c r="C114" i="1"/>
  <c r="C113" i="1"/>
  <c r="C109" i="1"/>
  <c r="C110" i="1" s="1"/>
  <c r="C111" i="1" s="1"/>
  <c r="C112" i="1" s="1"/>
  <c r="C103" i="1"/>
  <c r="C104" i="1" s="1"/>
  <c r="C105" i="1" s="1"/>
  <c r="C106" i="1" s="1"/>
  <c r="C107" i="1" s="1"/>
  <c r="C108" i="1" s="1"/>
  <c r="C99" i="1"/>
  <c r="C100" i="1" s="1"/>
  <c r="C101" i="1" s="1"/>
  <c r="C102" i="1" s="1"/>
  <c r="C94" i="1"/>
  <c r="C95" i="1" s="1"/>
  <c r="C96" i="1" s="1"/>
  <c r="C97" i="1" s="1"/>
  <c r="C98" i="1" s="1"/>
  <c r="C93" i="1"/>
  <c r="C92" i="1"/>
  <c r="C91" i="1"/>
  <c r="C90" i="1"/>
  <c r="C82" i="1"/>
  <c r="C83" i="1" s="1"/>
  <c r="C84" i="1" s="1"/>
  <c r="C85" i="1" s="1"/>
  <c r="C86" i="1" s="1"/>
  <c r="C87" i="1" s="1"/>
  <c r="C88" i="1" s="1"/>
  <c r="C89" i="1" s="1"/>
  <c r="C73" i="1"/>
  <c r="C74" i="1" s="1"/>
  <c r="C75" i="1" s="1"/>
  <c r="C76" i="1" s="1"/>
  <c r="C77" i="1" s="1"/>
  <c r="C78" i="1" s="1"/>
  <c r="C79" i="1" s="1"/>
  <c r="C80" i="1" s="1"/>
  <c r="C81" i="1" s="1"/>
  <c r="C71" i="1"/>
  <c r="C72" i="1" s="1"/>
  <c r="C66" i="1"/>
  <c r="C67" i="1" s="1"/>
  <c r="C68" i="1" s="1"/>
  <c r="C69" i="1" s="1"/>
  <c r="C70" i="1" s="1"/>
  <c r="C65" i="1"/>
  <c r="C64" i="1"/>
  <c r="C59" i="1"/>
  <c r="C60" i="1" s="1"/>
  <c r="C61" i="1" s="1"/>
  <c r="C62" i="1" s="1"/>
  <c r="C63" i="1" s="1"/>
  <c r="C53" i="1"/>
  <c r="C54" i="1" s="1"/>
  <c r="C55" i="1" s="1"/>
  <c r="C56" i="1" s="1"/>
  <c r="C57" i="1" s="1"/>
  <c r="C58" i="1" s="1"/>
  <c r="C52" i="1"/>
  <c r="C46" i="1"/>
  <c r="C47" i="1" s="1"/>
  <c r="C48" i="1" s="1"/>
  <c r="C49" i="1" s="1"/>
  <c r="C50" i="1" s="1"/>
  <c r="C51" i="1" s="1"/>
  <c r="C45" i="1"/>
  <c r="C44" i="1"/>
  <c r="C43" i="1"/>
  <c r="C42" i="1"/>
  <c r="C39" i="1"/>
  <c r="C40" i="1" s="1"/>
  <c r="C41" i="1" s="1"/>
  <c r="C37" i="1"/>
  <c r="C38" i="1" s="1"/>
  <c r="C36" i="1"/>
  <c r="C33" i="1"/>
  <c r="C34" i="1" s="1"/>
  <c r="C35" i="1" s="1"/>
  <c r="C32" i="1"/>
  <c r="C31" i="1"/>
  <c r="C30" i="1"/>
  <c r="C26" i="1"/>
  <c r="C27" i="1" s="1"/>
  <c r="C28" i="1" s="1"/>
  <c r="C29" i="1" s="1"/>
  <c r="C21" i="1"/>
  <c r="C22" i="1" s="1"/>
  <c r="C23" i="1" s="1"/>
  <c r="C24" i="1" s="1"/>
  <c r="C25" i="1" s="1"/>
  <c r="C20" i="1"/>
  <c r="C18" i="1"/>
  <c r="C19" i="1" s="1"/>
  <c r="C11" i="1"/>
  <c r="C12" i="1" s="1"/>
  <c r="C13" i="1" s="1"/>
  <c r="C14" i="1" s="1"/>
  <c r="C15" i="1" s="1"/>
  <c r="C16" i="1" s="1"/>
  <c r="C17" i="1" s="1"/>
  <c r="C156" i="5"/>
  <c r="C157" i="5" s="1"/>
  <c r="C158" i="5" s="1"/>
  <c r="C159" i="5" s="1"/>
  <c r="C160" i="5" s="1"/>
  <c r="C161" i="5" s="1"/>
  <c r="C162" i="5" s="1"/>
  <c r="C152" i="5"/>
  <c r="C153" i="5" s="1"/>
  <c r="C154" i="5" s="1"/>
  <c r="C155" i="5" s="1"/>
  <c r="C149" i="5"/>
  <c r="C150" i="5" s="1"/>
  <c r="C151" i="5" s="1"/>
  <c r="C148" i="5"/>
  <c r="C147" i="5"/>
  <c r="C143" i="5"/>
  <c r="C144" i="5" s="1"/>
  <c r="C145" i="5" s="1"/>
  <c r="C146" i="5" s="1"/>
  <c r="C139" i="5"/>
  <c r="C140" i="5" s="1"/>
  <c r="C141" i="5" s="1"/>
  <c r="C142" i="5" s="1"/>
  <c r="C138" i="5"/>
  <c r="C132" i="5"/>
  <c r="C133" i="5" s="1"/>
  <c r="C134" i="5" s="1"/>
  <c r="C135" i="5" s="1"/>
  <c r="C136" i="5" s="1"/>
  <c r="C137" i="5" s="1"/>
  <c r="C121" i="5"/>
  <c r="C122" i="5" s="1"/>
  <c r="C123" i="5" s="1"/>
  <c r="C124" i="5" s="1"/>
  <c r="C125" i="5" s="1"/>
  <c r="C126" i="5" s="1"/>
  <c r="C127" i="5" s="1"/>
  <c r="C128" i="5" s="1"/>
  <c r="C129" i="5" s="1"/>
  <c r="C130" i="5" s="1"/>
  <c r="C131" i="5" s="1"/>
  <c r="C120" i="5"/>
  <c r="C119" i="5"/>
  <c r="C118" i="5"/>
  <c r="C117" i="5"/>
  <c r="C115" i="5"/>
  <c r="C116" i="5" s="1"/>
  <c r="C114" i="5"/>
  <c r="C111" i="5"/>
  <c r="C112" i="5" s="1"/>
  <c r="C113" i="5" s="1"/>
  <c r="C110" i="5"/>
  <c r="C109" i="5"/>
  <c r="C107" i="5"/>
  <c r="C108" i="5" s="1"/>
  <c r="C106" i="5"/>
  <c r="C105" i="5"/>
  <c r="C104" i="5"/>
  <c r="C100" i="5"/>
  <c r="C101" i="5" s="1"/>
  <c r="C102" i="5" s="1"/>
  <c r="C103" i="5" s="1"/>
  <c r="C99" i="5"/>
  <c r="C98" i="5"/>
  <c r="C97" i="5"/>
  <c r="C95" i="5"/>
  <c r="C96" i="5" s="1"/>
  <c r="C94" i="5"/>
  <c r="C93" i="5"/>
  <c r="C92" i="5"/>
  <c r="C91" i="5"/>
  <c r="C90" i="5"/>
  <c r="C83" i="5"/>
  <c r="C84" i="5" s="1"/>
  <c r="C85" i="5" s="1"/>
  <c r="C86" i="5" s="1"/>
  <c r="C87" i="5" s="1"/>
  <c r="C88" i="5" s="1"/>
  <c r="C89" i="5" s="1"/>
  <c r="C75" i="5"/>
  <c r="C76" i="5" s="1"/>
  <c r="C77" i="5" s="1"/>
  <c r="C78" i="5" s="1"/>
  <c r="C79" i="5" s="1"/>
  <c r="C80" i="5" s="1"/>
  <c r="C81" i="5" s="1"/>
  <c r="C82" i="5" s="1"/>
  <c r="C74" i="5"/>
  <c r="C73" i="5"/>
  <c r="C67" i="5"/>
  <c r="C68" i="5" s="1"/>
  <c r="C69" i="5" s="1"/>
  <c r="C70" i="5" s="1"/>
  <c r="C71" i="5" s="1"/>
  <c r="C72" i="5" s="1"/>
  <c r="C56" i="5"/>
  <c r="C57" i="5" s="1"/>
  <c r="C58" i="5" s="1"/>
  <c r="C59" i="5" s="1"/>
  <c r="C60" i="5" s="1"/>
  <c r="C61" i="5" s="1"/>
  <c r="C62" i="5" s="1"/>
  <c r="C63" i="5" s="1"/>
  <c r="C64" i="5" s="1"/>
  <c r="C65" i="5" s="1"/>
  <c r="C66" i="5" s="1"/>
  <c r="C55" i="5"/>
  <c r="C54" i="5"/>
  <c r="C52" i="5"/>
  <c r="C53" i="5" s="1"/>
  <c r="C48" i="5"/>
  <c r="C49" i="5" s="1"/>
  <c r="C50" i="5" s="1"/>
  <c r="C51" i="5" s="1"/>
  <c r="C47" i="5"/>
  <c r="C46" i="5"/>
  <c r="C43" i="5"/>
  <c r="C44" i="5" s="1"/>
  <c r="C45" i="5" s="1"/>
  <c r="C42" i="5"/>
  <c r="C41" i="5"/>
  <c r="C39" i="5"/>
  <c r="C40" i="5" s="1"/>
  <c r="C38" i="5"/>
  <c r="C32" i="5"/>
  <c r="C33" i="5" s="1"/>
  <c r="C34" i="5" s="1"/>
  <c r="C35" i="5" s="1"/>
  <c r="C36" i="5" s="1"/>
  <c r="C37" i="5" s="1"/>
  <c r="C31" i="5"/>
  <c r="C30" i="5"/>
  <c r="C27" i="5"/>
  <c r="C28" i="5" s="1"/>
  <c r="C29" i="5" s="1"/>
  <c r="C26" i="5"/>
  <c r="C25" i="5"/>
  <c r="C20" i="5"/>
  <c r="C21" i="5" s="1"/>
  <c r="C22" i="5" s="1"/>
  <c r="C23" i="5" s="1"/>
  <c r="C24" i="5" s="1"/>
  <c r="C16" i="5"/>
  <c r="C17" i="5" s="1"/>
  <c r="C18" i="5" s="1"/>
  <c r="C19" i="5" s="1"/>
  <c r="C11" i="5"/>
  <c r="C12" i="5" s="1"/>
  <c r="C13" i="5" s="1"/>
  <c r="C14" i="5" s="1"/>
  <c r="C15" i="5" s="1"/>
  <c r="C133" i="6"/>
  <c r="C134" i="6" s="1"/>
  <c r="C131" i="6"/>
  <c r="C132" i="6" s="1"/>
  <c r="C128" i="6"/>
  <c r="C129" i="6" s="1"/>
  <c r="C130" i="6" s="1"/>
  <c r="C127" i="6"/>
  <c r="C126" i="6"/>
  <c r="C123" i="6"/>
  <c r="C124" i="6" s="1"/>
  <c r="C125" i="6" s="1"/>
  <c r="C122" i="6"/>
  <c r="C120" i="6"/>
  <c r="C121" i="6" s="1"/>
  <c r="C119" i="6"/>
  <c r="C118" i="6"/>
  <c r="C116" i="6"/>
  <c r="C117" i="6" s="1"/>
  <c r="C115" i="6"/>
  <c r="C114" i="6"/>
  <c r="C111" i="6"/>
  <c r="C112" i="6" s="1"/>
  <c r="C113" i="6" s="1"/>
  <c r="C107" i="6"/>
  <c r="C108" i="6" s="1"/>
  <c r="C109" i="6" s="1"/>
  <c r="C110" i="6" s="1"/>
  <c r="C104" i="6"/>
  <c r="C105" i="6" s="1"/>
  <c r="C106" i="6" s="1"/>
  <c r="C103" i="6"/>
  <c r="C102" i="6"/>
  <c r="C100" i="6"/>
  <c r="C101" i="6" s="1"/>
  <c r="C96" i="6"/>
  <c r="C97" i="6" s="1"/>
  <c r="C98" i="6" s="1"/>
  <c r="C99" i="6" s="1"/>
  <c r="C91" i="6"/>
  <c r="C92" i="6" s="1"/>
  <c r="C93" i="6" s="1"/>
  <c r="C94" i="6" s="1"/>
  <c r="C95" i="6" s="1"/>
  <c r="C90" i="6"/>
  <c r="C87" i="6"/>
  <c r="C88" i="6" s="1"/>
  <c r="C89" i="6" s="1"/>
  <c r="C86" i="6"/>
  <c r="C85" i="6"/>
  <c r="C84" i="6"/>
  <c r="C83" i="6"/>
  <c r="C82" i="6"/>
  <c r="C81" i="6"/>
  <c r="C79" i="6"/>
  <c r="C80" i="6" s="1"/>
  <c r="C78" i="6"/>
  <c r="C75" i="6"/>
  <c r="C76" i="6" s="1"/>
  <c r="C77" i="6" s="1"/>
  <c r="C72" i="6"/>
  <c r="C73" i="6" s="1"/>
  <c r="C74" i="6" s="1"/>
  <c r="C71" i="6"/>
  <c r="C70" i="6"/>
  <c r="C67" i="6"/>
  <c r="C68" i="6" s="1"/>
  <c r="C69" i="6" s="1"/>
  <c r="C64" i="6"/>
  <c r="C65" i="6" s="1"/>
  <c r="C66" i="6" s="1"/>
  <c r="C63" i="6"/>
  <c r="C62" i="6"/>
  <c r="C59" i="6"/>
  <c r="C60" i="6" s="1"/>
  <c r="C61" i="6" s="1"/>
  <c r="C58" i="6"/>
  <c r="C57" i="6"/>
  <c r="C55" i="6"/>
  <c r="C56" i="6" s="1"/>
  <c r="C54" i="6"/>
  <c r="C51" i="6"/>
  <c r="C52" i="6" s="1"/>
  <c r="C53" i="6" s="1"/>
  <c r="C50" i="6"/>
  <c r="C47" i="6"/>
  <c r="C48" i="6" s="1"/>
  <c r="C49" i="6" s="1"/>
  <c r="C46" i="6"/>
  <c r="C45" i="6"/>
  <c r="C43" i="6"/>
  <c r="C44" i="6" s="1"/>
  <c r="C42" i="6"/>
  <c r="C40" i="6"/>
  <c r="C41" i="6" s="1"/>
  <c r="C39" i="6"/>
  <c r="C38" i="6"/>
  <c r="C36" i="6"/>
  <c r="C37" i="6" s="1"/>
  <c r="C35" i="6"/>
  <c r="C34" i="6"/>
  <c r="C32" i="6"/>
  <c r="C33" i="6" s="1"/>
  <c r="C31" i="6"/>
  <c r="C30" i="6"/>
  <c r="C29" i="6"/>
  <c r="C28" i="6"/>
  <c r="C27" i="6"/>
  <c r="C26" i="6"/>
  <c r="C25" i="6"/>
  <c r="C23" i="6"/>
  <c r="C24" i="6" s="1"/>
  <c r="C22" i="6"/>
  <c r="C21" i="6"/>
  <c r="C20" i="6"/>
  <c r="C19" i="6"/>
  <c r="C18" i="6"/>
  <c r="C17" i="6"/>
  <c r="C15" i="6"/>
  <c r="C16" i="6" s="1"/>
  <c r="C14" i="6"/>
  <c r="C12" i="6"/>
  <c r="C13" i="6" s="1"/>
  <c r="C11" i="6"/>
  <c r="C72" i="7"/>
  <c r="C73" i="7" s="1"/>
  <c r="C74" i="7" s="1"/>
  <c r="C75" i="7" s="1"/>
  <c r="C69" i="7"/>
  <c r="C70" i="7" s="1"/>
  <c r="C71" i="7" s="1"/>
  <c r="C68" i="7"/>
  <c r="C67" i="7"/>
  <c r="C61" i="7"/>
  <c r="C62" i="7" s="1"/>
  <c r="C63" i="7" s="1"/>
  <c r="C64" i="7" s="1"/>
  <c r="C65" i="7" s="1"/>
  <c r="C66" i="7" s="1"/>
  <c r="C60" i="7"/>
  <c r="C59" i="7"/>
  <c r="C54" i="7"/>
  <c r="C55" i="7" s="1"/>
  <c r="C56" i="7" s="1"/>
  <c r="C57" i="7" s="1"/>
  <c r="C58" i="7" s="1"/>
  <c r="C50" i="7"/>
  <c r="C51" i="7" s="1"/>
  <c r="C52" i="7" s="1"/>
  <c r="C53" i="7" s="1"/>
  <c r="C48" i="7"/>
  <c r="C49" i="7" s="1"/>
  <c r="C45" i="7"/>
  <c r="C46" i="7" s="1"/>
  <c r="C47" i="7" s="1"/>
  <c r="C44" i="7"/>
  <c r="C43" i="7"/>
  <c r="C42" i="7"/>
  <c r="C41" i="7"/>
  <c r="C36" i="7"/>
  <c r="C37" i="7" s="1"/>
  <c r="C38" i="7" s="1"/>
  <c r="C39" i="7" s="1"/>
  <c r="C40" i="7" s="1"/>
  <c r="C32" i="7"/>
  <c r="C33" i="7" s="1"/>
  <c r="C34" i="7" s="1"/>
  <c r="C35" i="7" s="1"/>
  <c r="C31" i="7"/>
  <c r="C28" i="7"/>
  <c r="C29" i="7" s="1"/>
  <c r="C30" i="7" s="1"/>
  <c r="C22" i="7"/>
  <c r="C23" i="7" s="1"/>
  <c r="C24" i="7" s="1"/>
  <c r="C25" i="7" s="1"/>
  <c r="C26" i="7" s="1"/>
  <c r="C27" i="7" s="1"/>
  <c r="C21" i="7"/>
  <c r="C20" i="7"/>
  <c r="C16" i="7"/>
  <c r="C17" i="7" s="1"/>
  <c r="C18" i="7" s="1"/>
  <c r="C19" i="7" s="1"/>
  <c r="C13" i="7"/>
  <c r="C14" i="7" s="1"/>
  <c r="C15" i="7" s="1"/>
  <c r="C12" i="7"/>
  <c r="C11" i="7"/>
  <c r="C10" i="7"/>
  <c r="C212" i="10"/>
  <c r="C213" i="10" s="1"/>
  <c r="C210" i="10"/>
  <c r="C211" i="10" s="1"/>
  <c r="C206" i="10"/>
  <c r="C207" i="10" s="1"/>
  <c r="C208" i="10" s="1"/>
  <c r="C209" i="10" s="1"/>
  <c r="C204" i="10"/>
  <c r="C205" i="10" s="1"/>
  <c r="C203" i="10"/>
  <c r="C202" i="10"/>
  <c r="C201" i="10"/>
  <c r="C198" i="10"/>
  <c r="C199" i="10" s="1"/>
  <c r="C200" i="10" s="1"/>
  <c r="C197" i="10"/>
  <c r="C194" i="10"/>
  <c r="C195" i="10" s="1"/>
  <c r="C196" i="10" s="1"/>
  <c r="C193" i="10"/>
  <c r="C190" i="10"/>
  <c r="C191" i="10" s="1"/>
  <c r="C192" i="10" s="1"/>
  <c r="C189" i="10"/>
  <c r="C188" i="10"/>
  <c r="C187" i="10"/>
  <c r="C184" i="10"/>
  <c r="C185" i="10" s="1"/>
  <c r="C186" i="10" s="1"/>
  <c r="C182" i="10"/>
  <c r="C183" i="10" s="1"/>
  <c r="C181" i="10"/>
  <c r="C178" i="10"/>
  <c r="C179" i="10" s="1"/>
  <c r="C180" i="10" s="1"/>
  <c r="C176" i="10"/>
  <c r="C177" i="10" s="1"/>
  <c r="C175" i="10"/>
  <c r="C174" i="10"/>
  <c r="C173" i="10"/>
  <c r="C170" i="10"/>
  <c r="C171" i="10" s="1"/>
  <c r="C172" i="10" s="1"/>
  <c r="C168" i="10"/>
  <c r="C169" i="10" s="1"/>
  <c r="C167" i="10"/>
  <c r="C166" i="10"/>
  <c r="C165" i="10"/>
  <c r="C162" i="10"/>
  <c r="C163" i="10" s="1"/>
  <c r="C164" i="10" s="1"/>
  <c r="C161" i="10"/>
  <c r="C160" i="10"/>
  <c r="C159" i="10"/>
  <c r="C158" i="10"/>
  <c r="C157" i="10"/>
  <c r="C154" i="10"/>
  <c r="C155" i="10" s="1"/>
  <c r="C156" i="10" s="1"/>
  <c r="C150" i="10"/>
  <c r="C151" i="10" s="1"/>
  <c r="C152" i="10" s="1"/>
  <c r="C153" i="10" s="1"/>
  <c r="C149" i="10"/>
  <c r="C144" i="10"/>
  <c r="C145" i="10" s="1"/>
  <c r="C146" i="10" s="1"/>
  <c r="C147" i="10" s="1"/>
  <c r="C148" i="10" s="1"/>
  <c r="C143" i="10"/>
  <c r="C142" i="10"/>
  <c r="C140" i="10"/>
  <c r="C141" i="10" s="1"/>
  <c r="C138" i="10"/>
  <c r="C139" i="10" s="1"/>
  <c r="C137" i="10"/>
  <c r="C136" i="10"/>
  <c r="C135" i="10"/>
  <c r="C132" i="10"/>
  <c r="C133" i="10" s="1"/>
  <c r="C134" i="10" s="1"/>
  <c r="C131" i="10"/>
  <c r="C130" i="10"/>
  <c r="C129" i="10"/>
  <c r="C126" i="10"/>
  <c r="C127" i="10" s="1"/>
  <c r="C128" i="10" s="1"/>
  <c r="C125" i="10"/>
  <c r="C120" i="10"/>
  <c r="C121" i="10" s="1"/>
  <c r="C122" i="10" s="1"/>
  <c r="C123" i="10" s="1"/>
  <c r="C124" i="10" s="1"/>
  <c r="C116" i="10"/>
  <c r="C117" i="10" s="1"/>
  <c r="C118" i="10" s="1"/>
  <c r="C119" i="10" s="1"/>
  <c r="C110" i="10"/>
  <c r="C111" i="10" s="1"/>
  <c r="C112" i="10" s="1"/>
  <c r="C113" i="10" s="1"/>
  <c r="C114" i="10" s="1"/>
  <c r="C115" i="10" s="1"/>
  <c r="C109" i="10"/>
  <c r="C108" i="10"/>
  <c r="C106" i="10"/>
  <c r="C107" i="10" s="1"/>
  <c r="C105" i="10"/>
  <c r="C102" i="10"/>
  <c r="C103" i="10" s="1"/>
  <c r="C104" i="10" s="1"/>
  <c r="C101" i="10"/>
  <c r="C100" i="10"/>
  <c r="C99" i="10"/>
  <c r="C94" i="10"/>
  <c r="C95" i="10" s="1"/>
  <c r="C96" i="10" s="1"/>
  <c r="C93" i="10"/>
  <c r="C92" i="10"/>
  <c r="C91" i="10"/>
  <c r="C90" i="10"/>
  <c r="C86" i="10"/>
  <c r="C87" i="10" s="1"/>
  <c r="C88" i="10" s="1"/>
  <c r="C89" i="10" s="1"/>
  <c r="C80" i="10"/>
  <c r="C81" i="10" s="1"/>
  <c r="C82" i="10" s="1"/>
  <c r="C83" i="10" s="1"/>
  <c r="C84" i="10" s="1"/>
  <c r="C85" i="10" s="1"/>
  <c r="C76" i="10"/>
  <c r="C77" i="10" s="1"/>
  <c r="C78" i="10" s="1"/>
  <c r="C79" i="10" s="1"/>
  <c r="C72" i="10"/>
  <c r="C73" i="10" s="1"/>
  <c r="C74" i="10" s="1"/>
  <c r="C75" i="10" s="1"/>
  <c r="C71" i="10"/>
  <c r="C70" i="10"/>
  <c r="C68" i="10"/>
  <c r="C69" i="10" s="1"/>
  <c r="C64" i="10"/>
  <c r="C65" i="10" s="1"/>
  <c r="C66" i="10" s="1"/>
  <c r="C67" i="10" s="1"/>
  <c r="C63" i="10"/>
  <c r="C60" i="10"/>
  <c r="C61" i="10" s="1"/>
  <c r="C62" i="10" s="1"/>
  <c r="C59" i="10"/>
  <c r="C54" i="10"/>
  <c r="C55" i="10" s="1"/>
  <c r="C56" i="10" s="1"/>
  <c r="C57" i="10" s="1"/>
  <c r="C58" i="10" s="1"/>
  <c r="C53" i="10"/>
  <c r="C52" i="10"/>
  <c r="C42" i="10"/>
  <c r="C43" i="10" s="1"/>
  <c r="C44" i="10" s="1"/>
  <c r="C45" i="10" s="1"/>
  <c r="C46" i="10" s="1"/>
  <c r="C47" i="10" s="1"/>
  <c r="C48" i="10" s="1"/>
  <c r="C49" i="10" s="1"/>
  <c r="C50" i="10" s="1"/>
  <c r="C51" i="10" s="1"/>
  <c r="C41" i="10"/>
  <c r="C28" i="10"/>
  <c r="C29" i="10" s="1"/>
  <c r="C30" i="10" s="1"/>
  <c r="C31" i="10" s="1"/>
  <c r="C32" i="10" s="1"/>
  <c r="C33" i="10" s="1"/>
  <c r="C34" i="10" s="1"/>
  <c r="C35" i="10" s="1"/>
  <c r="C36" i="10" s="1"/>
  <c r="C37" i="10" s="1"/>
  <c r="C38" i="10" s="1"/>
  <c r="C39" i="10" s="1"/>
  <c r="C40" i="10" s="1"/>
  <c r="C27" i="10"/>
  <c r="C22" i="10"/>
  <c r="C23" i="10" s="1"/>
  <c r="C24" i="10" s="1"/>
  <c r="C25" i="10" s="1"/>
  <c r="C26" i="10" s="1"/>
  <c r="C18" i="10"/>
  <c r="C19" i="10" s="1"/>
  <c r="C20" i="10" s="1"/>
  <c r="C21" i="10" s="1"/>
  <c r="C17" i="10"/>
  <c r="C16" i="10"/>
  <c r="C14" i="10"/>
  <c r="C15" i="10" s="1"/>
  <c r="C12" i="10"/>
  <c r="C13" i="10" s="1"/>
  <c r="C11" i="10"/>
  <c r="C151" i="9"/>
  <c r="C152" i="9" s="1"/>
  <c r="C146" i="9"/>
  <c r="C147" i="9" s="1"/>
  <c r="C148" i="9" s="1"/>
  <c r="C149" i="9" s="1"/>
  <c r="C150" i="9" s="1"/>
  <c r="C143" i="9"/>
  <c r="C144" i="9" s="1"/>
  <c r="C145" i="9" s="1"/>
  <c r="C139" i="9"/>
  <c r="C140" i="9" s="1"/>
  <c r="C141" i="9" s="1"/>
  <c r="C142" i="9" s="1"/>
  <c r="C138" i="9"/>
  <c r="C137" i="9"/>
  <c r="C134" i="9"/>
  <c r="C135" i="9" s="1"/>
  <c r="C136" i="9" s="1"/>
  <c r="C130" i="9"/>
  <c r="C131" i="9" s="1"/>
  <c r="C132" i="9" s="1"/>
  <c r="C133" i="9" s="1"/>
  <c r="C129" i="9"/>
  <c r="C128" i="9"/>
  <c r="C125" i="9"/>
  <c r="C126" i="9" s="1"/>
  <c r="C127" i="9" s="1"/>
  <c r="C124" i="9"/>
  <c r="C123" i="9"/>
  <c r="C121" i="9"/>
  <c r="C122" i="9" s="1"/>
  <c r="C120" i="9"/>
  <c r="C117" i="9"/>
  <c r="C118" i="9" s="1"/>
  <c r="C119" i="9" s="1"/>
  <c r="C116" i="9"/>
  <c r="C115" i="9"/>
  <c r="C113" i="9"/>
  <c r="C114" i="9" s="1"/>
  <c r="C112" i="9"/>
  <c r="C111" i="9"/>
  <c r="C110" i="9"/>
  <c r="C109" i="9"/>
  <c r="C108" i="9"/>
  <c r="C107" i="9"/>
  <c r="C102" i="9"/>
  <c r="C103" i="9" s="1"/>
  <c r="C104" i="9" s="1"/>
  <c r="C105" i="9" s="1"/>
  <c r="C106" i="9" s="1"/>
  <c r="C97" i="9"/>
  <c r="C98" i="9" s="1"/>
  <c r="C99" i="9" s="1"/>
  <c r="C100" i="9" s="1"/>
  <c r="C101" i="9" s="1"/>
  <c r="C96" i="9"/>
  <c r="C93" i="9"/>
  <c r="C94" i="9" s="1"/>
  <c r="C95" i="9" s="1"/>
  <c r="C92" i="9"/>
  <c r="C91" i="9"/>
  <c r="C85" i="9"/>
  <c r="C86" i="9" s="1"/>
  <c r="C87" i="9" s="1"/>
  <c r="C88" i="9" s="1"/>
  <c r="C89" i="9" s="1"/>
  <c r="C90" i="9" s="1"/>
  <c r="C84" i="9"/>
  <c r="C83" i="9"/>
  <c r="C78" i="9"/>
  <c r="C79" i="9" s="1"/>
  <c r="C80" i="9" s="1"/>
  <c r="C81" i="9" s="1"/>
  <c r="C82" i="9" s="1"/>
  <c r="C73" i="9"/>
  <c r="C74" i="9" s="1"/>
  <c r="C75" i="9" s="1"/>
  <c r="C76" i="9" s="1"/>
  <c r="C77" i="9" s="1"/>
  <c r="C70" i="9"/>
  <c r="C71" i="9" s="1"/>
  <c r="C72" i="9" s="1"/>
  <c r="C65" i="9"/>
  <c r="C66" i="9" s="1"/>
  <c r="C67" i="9" s="1"/>
  <c r="C68" i="9" s="1"/>
  <c r="C69" i="9" s="1"/>
  <c r="C64" i="9"/>
  <c r="C63" i="9"/>
  <c r="C58" i="9"/>
  <c r="C59" i="9" s="1"/>
  <c r="C60" i="9" s="1"/>
  <c r="C61" i="9" s="1"/>
  <c r="C62" i="9" s="1"/>
  <c r="C53" i="9"/>
  <c r="C54" i="9" s="1"/>
  <c r="C55" i="9" s="1"/>
  <c r="C56" i="9" s="1"/>
  <c r="C57" i="9" s="1"/>
  <c r="C49" i="9"/>
  <c r="C50" i="9" s="1"/>
  <c r="C51" i="9" s="1"/>
  <c r="C52" i="9" s="1"/>
  <c r="C45" i="9"/>
  <c r="C46" i="9" s="1"/>
  <c r="C47" i="9" s="1"/>
  <c r="C48" i="9" s="1"/>
  <c r="C44" i="9"/>
  <c r="C43" i="9"/>
  <c r="C41" i="9"/>
  <c r="C42" i="9" s="1"/>
  <c r="C40" i="9"/>
  <c r="C39" i="9"/>
  <c r="C37" i="9"/>
  <c r="C38" i="9" s="1"/>
  <c r="C36" i="9"/>
  <c r="C35" i="9"/>
  <c r="C33" i="9"/>
  <c r="C34" i="9" s="1"/>
  <c r="C29" i="9"/>
  <c r="C30" i="9" s="1"/>
  <c r="C31" i="9" s="1"/>
  <c r="C32" i="9" s="1"/>
  <c r="C28" i="9"/>
  <c r="C27" i="9"/>
  <c r="C26" i="9"/>
  <c r="C21" i="9"/>
  <c r="C22" i="9" s="1"/>
  <c r="C23" i="9" s="1"/>
  <c r="C24" i="9" s="1"/>
  <c r="C25" i="9" s="1"/>
  <c r="C20" i="9"/>
  <c r="C17" i="9"/>
  <c r="C18" i="9" s="1"/>
  <c r="C19" i="9" s="1"/>
  <c r="C16" i="9"/>
  <c r="C13" i="9"/>
  <c r="C14" i="9" s="1"/>
  <c r="C15" i="9" s="1"/>
  <c r="C12" i="9"/>
  <c r="C11" i="9"/>
  <c r="C115" i="8"/>
  <c r="C116" i="8" s="1"/>
  <c r="C117" i="8" s="1"/>
  <c r="C118" i="8" s="1"/>
  <c r="C111" i="8"/>
  <c r="C112" i="8" s="1"/>
  <c r="C113" i="8" s="1"/>
  <c r="C114" i="8" s="1"/>
  <c r="C107" i="8"/>
  <c r="C108" i="8" s="1"/>
  <c r="C109" i="8" s="1"/>
  <c r="C110" i="8" s="1"/>
  <c r="C103" i="8"/>
  <c r="C104" i="8" s="1"/>
  <c r="C105" i="8" s="1"/>
  <c r="C106" i="8" s="1"/>
  <c r="C102" i="8"/>
  <c r="C101" i="8"/>
  <c r="C100" i="8"/>
  <c r="C96" i="8"/>
  <c r="C97" i="8" s="1"/>
  <c r="C98" i="8" s="1"/>
  <c r="C99" i="8" s="1"/>
  <c r="C91" i="8"/>
  <c r="C92" i="8" s="1"/>
  <c r="C93" i="8" s="1"/>
  <c r="C94" i="8" s="1"/>
  <c r="C95" i="8" s="1"/>
  <c r="C88" i="8"/>
  <c r="C89" i="8" s="1"/>
  <c r="C90" i="8" s="1"/>
  <c r="C81" i="8"/>
  <c r="C82" i="8" s="1"/>
  <c r="C83" i="8" s="1"/>
  <c r="C84" i="8" s="1"/>
  <c r="C85" i="8" s="1"/>
  <c r="C86" i="8" s="1"/>
  <c r="C87" i="8" s="1"/>
  <c r="C80" i="8"/>
  <c r="C79" i="8"/>
  <c r="C78" i="8"/>
  <c r="C77" i="8"/>
  <c r="C71" i="8"/>
  <c r="C72" i="8" s="1"/>
  <c r="C73" i="8" s="1"/>
  <c r="C74" i="8" s="1"/>
  <c r="C75" i="8" s="1"/>
  <c r="C76" i="8" s="1"/>
  <c r="C68" i="8"/>
  <c r="C69" i="8" s="1"/>
  <c r="C70" i="8" s="1"/>
  <c r="C63" i="8"/>
  <c r="C64" i="8" s="1"/>
  <c r="C65" i="8" s="1"/>
  <c r="C66" i="8" s="1"/>
  <c r="C67" i="8" s="1"/>
  <c r="C62" i="8"/>
  <c r="C61" i="8"/>
  <c r="C56" i="8"/>
  <c r="C57" i="8" s="1"/>
  <c r="C58" i="8" s="1"/>
  <c r="C59" i="8" s="1"/>
  <c r="C60" i="8" s="1"/>
  <c r="C52" i="8"/>
  <c r="C53" i="8" s="1"/>
  <c r="C54" i="8" s="1"/>
  <c r="C55" i="8" s="1"/>
  <c r="C49" i="8"/>
  <c r="C50" i="8" s="1"/>
  <c r="C51" i="8" s="1"/>
  <c r="C47" i="8"/>
  <c r="C48" i="8" s="1"/>
  <c r="C46" i="8"/>
  <c r="C45" i="8"/>
  <c r="C44" i="8"/>
  <c r="C43" i="8"/>
  <c r="C42" i="8"/>
  <c r="C41" i="8"/>
  <c r="C35" i="8"/>
  <c r="C36" i="8" s="1"/>
  <c r="C37" i="8" s="1"/>
  <c r="C38" i="8" s="1"/>
  <c r="C39" i="8" s="1"/>
  <c r="C40" i="8" s="1"/>
  <c r="C31" i="8"/>
  <c r="C32" i="8" s="1"/>
  <c r="C33" i="8" s="1"/>
  <c r="C34" i="8" s="1"/>
  <c r="C30" i="8"/>
  <c r="C28" i="8"/>
  <c r="C29" i="8" s="1"/>
  <c r="C24" i="8"/>
  <c r="C25" i="8" s="1"/>
  <c r="C26" i="8" s="1"/>
  <c r="C27" i="8" s="1"/>
  <c r="C23" i="8"/>
  <c r="C22" i="8"/>
  <c r="C19" i="8"/>
  <c r="C20" i="8" s="1"/>
  <c r="C21" i="8" s="1"/>
  <c r="C16" i="8"/>
  <c r="C17" i="8" s="1"/>
  <c r="C18" i="8" s="1"/>
  <c r="C15" i="8"/>
  <c r="C14" i="8"/>
  <c r="C11" i="8"/>
  <c r="C12" i="8" s="1"/>
  <c r="C13" i="8" s="1"/>
  <c r="L116" i="1"/>
  <c r="L95" i="1"/>
  <c r="L67" i="1"/>
  <c r="L47" i="1"/>
  <c r="L33" i="1"/>
  <c r="L11" i="1"/>
  <c r="L128" i="1"/>
  <c r="L127" i="1"/>
  <c r="L126" i="1"/>
  <c r="L125" i="1"/>
  <c r="L124" i="1"/>
  <c r="L123" i="1"/>
  <c r="L122" i="1"/>
  <c r="L121" i="1"/>
  <c r="L120" i="1"/>
  <c r="L119" i="1"/>
  <c r="L118" i="1"/>
  <c r="L117" i="1"/>
  <c r="L112" i="1"/>
  <c r="L111" i="1"/>
  <c r="L110" i="1"/>
  <c r="L109" i="1"/>
  <c r="L108" i="1"/>
  <c r="L107" i="1"/>
  <c r="L106" i="1"/>
  <c r="L105" i="1"/>
  <c r="L104" i="1"/>
  <c r="L103" i="1"/>
  <c r="L102" i="1"/>
  <c r="L101" i="1"/>
  <c r="L100" i="1"/>
  <c r="L99" i="1"/>
  <c r="L98" i="1"/>
  <c r="L97" i="1"/>
  <c r="L96" i="1"/>
  <c r="L89" i="1"/>
  <c r="L88" i="1"/>
  <c r="L87" i="1"/>
  <c r="L86" i="1"/>
  <c r="L85" i="1"/>
  <c r="L84" i="1"/>
  <c r="L83" i="1"/>
  <c r="L82" i="1"/>
  <c r="L81" i="1"/>
  <c r="L80" i="1"/>
  <c r="L79" i="1"/>
  <c r="L78" i="1"/>
  <c r="L77" i="1"/>
  <c r="L76" i="1"/>
  <c r="L75" i="1"/>
  <c r="L74" i="1"/>
  <c r="L73" i="1"/>
  <c r="L72" i="1"/>
  <c r="L71" i="1"/>
  <c r="L70" i="1"/>
  <c r="L69" i="1"/>
  <c r="L68" i="1"/>
  <c r="L63" i="1"/>
  <c r="L62" i="1"/>
  <c r="L61" i="1"/>
  <c r="L60" i="1"/>
  <c r="L59" i="1"/>
  <c r="L58" i="1"/>
  <c r="L57" i="1"/>
  <c r="L56" i="1"/>
  <c r="L55" i="1"/>
  <c r="L54" i="1"/>
  <c r="L53" i="1"/>
  <c r="L52" i="1"/>
  <c r="L51" i="1"/>
  <c r="L50" i="1"/>
  <c r="L49" i="1"/>
  <c r="L48" i="1"/>
  <c r="L41" i="1"/>
  <c r="L40" i="1"/>
  <c r="L39" i="1"/>
  <c r="L38" i="1"/>
  <c r="L37" i="1"/>
  <c r="L36" i="1"/>
  <c r="L35" i="1"/>
  <c r="L34" i="1"/>
  <c r="L32" i="1"/>
  <c r="L31" i="1"/>
  <c r="L30" i="1"/>
  <c r="L29" i="1"/>
  <c r="L28" i="1"/>
  <c r="L27" i="1"/>
  <c r="L26" i="1"/>
  <c r="L25" i="1"/>
  <c r="L24" i="1"/>
  <c r="L23" i="1"/>
  <c r="L22" i="1"/>
  <c r="L21" i="1"/>
  <c r="L20" i="1"/>
  <c r="L19" i="1"/>
  <c r="L18" i="1"/>
  <c r="L17" i="1"/>
  <c r="L16" i="1"/>
  <c r="L15" i="1"/>
  <c r="L14" i="1"/>
  <c r="L13" i="1"/>
  <c r="L12" i="1"/>
  <c r="J58" i="1"/>
  <c r="J57" i="1"/>
  <c r="F69" i="17"/>
  <c r="F68" i="17"/>
  <c r="F40" i="15"/>
  <c r="F39" i="15"/>
  <c r="F38" i="15"/>
  <c r="F37" i="15"/>
  <c r="C97" i="10" l="1"/>
  <c r="C98" i="10" s="1"/>
  <c r="B96" i="10"/>
  <c r="F22" i="13"/>
  <c r="F21" i="13"/>
  <c r="F20" i="13"/>
  <c r="F19" i="13"/>
  <c r="F18" i="13"/>
  <c r="I30" i="15" l="1"/>
  <c r="I29" i="15"/>
  <c r="U27" i="15"/>
  <c r="I27" i="15"/>
  <c r="F91" i="17"/>
  <c r="F90" i="17"/>
  <c r="F89" i="17"/>
  <c r="F88" i="17"/>
  <c r="F87" i="17"/>
  <c r="F86" i="17"/>
  <c r="F85" i="17"/>
  <c r="F84" i="17"/>
  <c r="F83" i="17"/>
  <c r="F82" i="17"/>
  <c r="F81" i="17"/>
  <c r="F80" i="17"/>
  <c r="F79" i="17"/>
  <c r="F78" i="17"/>
  <c r="F77" i="17"/>
  <c r="F76" i="17"/>
  <c r="F75" i="17"/>
  <c r="F74" i="17"/>
  <c r="F73" i="17"/>
  <c r="F72" i="17"/>
  <c r="F71" i="17"/>
  <c r="F70"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U27" i="17" s="1"/>
  <c r="F26" i="17"/>
  <c r="F25" i="17"/>
  <c r="F24" i="17"/>
  <c r="F23" i="17"/>
  <c r="F22" i="17"/>
  <c r="F21" i="17"/>
  <c r="F20" i="17"/>
  <c r="F19" i="17"/>
  <c r="F18" i="17"/>
  <c r="F17" i="17"/>
  <c r="F16" i="17"/>
  <c r="F15" i="17"/>
  <c r="F14" i="17"/>
  <c r="F13" i="17"/>
  <c r="F12" i="17"/>
  <c r="F11" i="17"/>
  <c r="F10" i="17"/>
  <c r="F9" i="17"/>
  <c r="F38" i="16"/>
  <c r="F37" i="16"/>
  <c r="F36" i="16"/>
  <c r="F35" i="16"/>
  <c r="F34" i="16"/>
  <c r="F33" i="16"/>
  <c r="F32" i="16"/>
  <c r="F31" i="16"/>
  <c r="F30" i="16"/>
  <c r="F29" i="16"/>
  <c r="F28" i="16"/>
  <c r="F48" i="15"/>
  <c r="F47" i="15"/>
  <c r="F46" i="15"/>
  <c r="F45" i="15"/>
  <c r="F44" i="15"/>
  <c r="F43" i="15"/>
  <c r="F42" i="15"/>
  <c r="F41" i="15"/>
  <c r="F36" i="15"/>
  <c r="F35" i="15"/>
  <c r="F34" i="15"/>
  <c r="F33" i="15"/>
  <c r="F32" i="15"/>
  <c r="F31" i="15"/>
  <c r="F30" i="15"/>
  <c r="U30" i="15" s="1"/>
  <c r="F29" i="15"/>
  <c r="F28" i="15"/>
  <c r="U28" i="15" s="1"/>
  <c r="F27" i="15"/>
  <c r="F26" i="15"/>
  <c r="F25" i="15"/>
  <c r="F24" i="15"/>
  <c r="F23" i="15"/>
  <c r="F22" i="15"/>
  <c r="F21" i="15"/>
  <c r="F20" i="15"/>
  <c r="F19" i="15"/>
  <c r="F18" i="15"/>
  <c r="F17" i="15"/>
  <c r="F16" i="15"/>
  <c r="F15" i="15"/>
  <c r="F14" i="15"/>
  <c r="F13" i="15"/>
  <c r="F12" i="15"/>
  <c r="F11" i="15"/>
  <c r="F10" i="15"/>
  <c r="F9" i="15"/>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46" i="13"/>
  <c r="F45" i="13"/>
  <c r="F44" i="13"/>
  <c r="F43" i="13"/>
  <c r="F42" i="13"/>
  <c r="F41" i="13"/>
  <c r="F40" i="13"/>
  <c r="F39" i="13"/>
  <c r="F38" i="13"/>
  <c r="F37" i="13"/>
  <c r="F36" i="13"/>
  <c r="F35" i="13"/>
  <c r="F34" i="13"/>
  <c r="F33" i="13"/>
  <c r="F32" i="13"/>
  <c r="F31" i="13"/>
  <c r="F30" i="13"/>
  <c r="F29" i="13"/>
  <c r="F28" i="13"/>
  <c r="F27" i="13"/>
  <c r="F26" i="13"/>
  <c r="F25" i="13"/>
  <c r="F24" i="13"/>
  <c r="F23" i="13"/>
  <c r="F17" i="13"/>
  <c r="F16" i="13"/>
  <c r="F15" i="13"/>
  <c r="F14" i="13"/>
  <c r="F13" i="13"/>
  <c r="F12" i="13"/>
  <c r="F11" i="13"/>
  <c r="F10" i="13"/>
  <c r="F9" i="13"/>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B213" i="10" l="1"/>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B3" i="8"/>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3" i="6"/>
  <c r="B3" i="5"/>
  <c r="B11" i="1"/>
  <c r="B10" i="1"/>
  <c r="B9" i="1"/>
  <c r="B8" i="1"/>
  <c r="B7" i="1"/>
  <c r="B6" i="1"/>
  <c r="B5" i="1"/>
  <c r="J88" i="1"/>
  <c r="J62" i="1"/>
  <c r="J61" i="1"/>
  <c r="J51" i="1"/>
  <c r="F42" i="7" l="1"/>
  <c r="F158" i="10"/>
  <c r="F7" i="7"/>
  <c r="F4" i="7"/>
  <c r="F7" i="10"/>
  <c r="F4" i="10"/>
  <c r="F91" i="10"/>
  <c r="B152" i="9" l="1"/>
  <c r="B102" i="9"/>
  <c r="B91" i="9"/>
  <c r="B115" i="8"/>
  <c r="B88" i="8"/>
  <c r="B71" i="8"/>
  <c r="B56" i="8"/>
  <c r="B52" i="8"/>
  <c r="B49" i="8"/>
  <c r="B35" i="8"/>
  <c r="B19" i="8"/>
  <c r="B16" i="8"/>
  <c r="B15" i="8"/>
  <c r="B14" i="8"/>
  <c r="B22" i="8"/>
  <c r="B23" i="8"/>
  <c r="B24" i="8"/>
  <c r="B120" i="6"/>
  <c r="B100" i="6"/>
  <c r="B96" i="6"/>
  <c r="B78" i="6"/>
  <c r="B54" i="6"/>
  <c r="B50" i="6"/>
  <c r="B43" i="6"/>
  <c r="B42" i="6"/>
  <c r="B25" i="6"/>
  <c r="B14" i="6"/>
  <c r="B15" i="6"/>
  <c r="B12" i="6"/>
  <c r="B143" i="5"/>
  <c r="B111" i="5"/>
  <c r="B109" i="5"/>
  <c r="B104" i="5"/>
  <c r="B100" i="5"/>
  <c r="B97" i="5"/>
  <c r="B73" i="5"/>
  <c r="B30" i="5"/>
  <c r="B73" i="1"/>
  <c r="B126" i="1"/>
  <c r="B122" i="1"/>
  <c r="B109" i="1"/>
  <c r="B103" i="1"/>
  <c r="B99" i="1"/>
  <c r="B71" i="1"/>
  <c r="B59" i="1"/>
  <c r="B39" i="1"/>
  <c r="B36" i="1"/>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R12" i="11"/>
  <c r="T159" i="10"/>
  <c r="R29" i="11" s="1"/>
  <c r="T92" i="10"/>
  <c r="R28" i="11" s="1"/>
  <c r="T8" i="10"/>
  <c r="R27" i="11" s="1"/>
  <c r="T109" i="9"/>
  <c r="R25" i="11" s="1"/>
  <c r="T8" i="9"/>
  <c r="R24" i="11" s="1"/>
  <c r="T43" i="7"/>
  <c r="R18" i="11" s="1"/>
  <c r="T8" i="7"/>
  <c r="R17" i="11" s="1"/>
  <c r="T83" i="6"/>
  <c r="R15" i="11" s="1"/>
  <c r="T8" i="6"/>
  <c r="R14" i="11" s="1"/>
  <c r="U119" i="5"/>
  <c r="T92" i="5"/>
  <c r="R11" i="11" s="1"/>
  <c r="T8" i="5"/>
  <c r="R10" i="11" s="1"/>
  <c r="T79" i="8"/>
  <c r="R22" i="11" s="1"/>
  <c r="T43" i="8"/>
  <c r="R21" i="11" s="1"/>
  <c r="T8" i="8"/>
  <c r="R20" i="11" s="1"/>
  <c r="B97" i="9" l="1"/>
  <c r="B96" i="9"/>
  <c r="B72" i="1"/>
  <c r="B21" i="1"/>
  <c r="B20" i="1"/>
  <c r="B53" i="1"/>
  <c r="B52" i="1"/>
  <c r="B83" i="1"/>
  <c r="B82" i="1"/>
  <c r="B120" i="1"/>
  <c r="B119" i="1"/>
  <c r="B27" i="1"/>
  <c r="B26" i="1"/>
  <c r="B29" i="8"/>
  <c r="B28" i="8"/>
  <c r="B69" i="8"/>
  <c r="B68" i="8"/>
  <c r="B98" i="8"/>
  <c r="B96" i="8"/>
  <c r="B31" i="8"/>
  <c r="B30" i="8"/>
  <c r="B118" i="8"/>
  <c r="B73" i="8"/>
  <c r="B72" i="8"/>
  <c r="B90" i="8"/>
  <c r="B89" i="8"/>
  <c r="B108" i="8"/>
  <c r="B107" i="8"/>
  <c r="B27" i="8"/>
  <c r="B25" i="8"/>
  <c r="B26" i="8"/>
  <c r="B92" i="8"/>
  <c r="B91" i="8"/>
  <c r="B113" i="8"/>
  <c r="B111" i="8"/>
  <c r="B76" i="6"/>
  <c r="B75" i="6"/>
  <c r="B18" i="6"/>
  <c r="B17" i="6"/>
  <c r="B93" i="6"/>
  <c r="B90" i="6"/>
  <c r="B123" i="6"/>
  <c r="B122" i="6"/>
  <c r="B92" i="6"/>
  <c r="B91" i="6"/>
  <c r="B119" i="6"/>
  <c r="B118" i="6"/>
  <c r="B24" i="6"/>
  <c r="B23" i="6"/>
  <c r="B132" i="6"/>
  <c r="B131" i="6"/>
  <c r="B63" i="6"/>
  <c r="B62" i="6"/>
  <c r="B134" i="6"/>
  <c r="B133" i="6"/>
  <c r="B41" i="6"/>
  <c r="B40" i="6"/>
  <c r="B33" i="6"/>
  <c r="B32" i="6"/>
  <c r="B65" i="6"/>
  <c r="B64" i="6"/>
  <c r="B109" i="6"/>
  <c r="B107" i="6"/>
  <c r="B39" i="6"/>
  <c r="B38" i="6"/>
  <c r="B68" i="6"/>
  <c r="B67" i="6"/>
  <c r="B111" i="6"/>
  <c r="B17" i="5"/>
  <c r="B16" i="5"/>
  <c r="B68" i="5"/>
  <c r="B67" i="5"/>
  <c r="B116" i="5"/>
  <c r="B114" i="5"/>
  <c r="B50" i="5"/>
  <c r="B48" i="5"/>
  <c r="B86" i="5"/>
  <c r="B83" i="5"/>
  <c r="B133" i="5"/>
  <c r="B132" i="5"/>
  <c r="B22" i="5"/>
  <c r="B20" i="5"/>
  <c r="B34" i="5"/>
  <c r="B32" i="5"/>
  <c r="B40" i="5"/>
  <c r="B38" i="5"/>
  <c r="B138" i="5"/>
  <c r="B47" i="5"/>
  <c r="B46" i="5"/>
  <c r="B157" i="5"/>
  <c r="B156" i="5"/>
  <c r="B53" i="5"/>
  <c r="B52" i="5"/>
  <c r="B153" i="5"/>
  <c r="B152" i="5"/>
  <c r="B144" i="5"/>
  <c r="B103" i="9"/>
  <c r="B109" i="8"/>
  <c r="B116" i="8"/>
  <c r="B112" i="8"/>
  <c r="B93" i="8"/>
  <c r="B99" i="8"/>
  <c r="B74" i="8"/>
  <c r="B70" i="8"/>
  <c r="B53" i="8"/>
  <c r="B57" i="8"/>
  <c r="B32" i="8"/>
  <c r="B17" i="8"/>
  <c r="B124" i="6"/>
  <c r="B108" i="6"/>
  <c r="B97" i="6"/>
  <c r="B101" i="6"/>
  <c r="B121" i="6"/>
  <c r="B125" i="6"/>
  <c r="B95" i="6"/>
  <c r="B94" i="6"/>
  <c r="B80" i="6"/>
  <c r="B56" i="6"/>
  <c r="B51" i="6"/>
  <c r="B26" i="6"/>
  <c r="B44" i="6"/>
  <c r="B13" i="6"/>
  <c r="B16" i="6"/>
  <c r="B158" i="5"/>
  <c r="B160" i="5"/>
  <c r="B110" i="5"/>
  <c r="B112" i="5"/>
  <c r="B49" i="5"/>
  <c r="B99" i="5"/>
  <c r="B84" i="5"/>
  <c r="B74" i="5"/>
  <c r="B31" i="5"/>
  <c r="B33" i="5"/>
  <c r="B21" i="5"/>
  <c r="B110" i="1"/>
  <c r="B100" i="1"/>
  <c r="B104" i="1"/>
  <c r="B74" i="1"/>
  <c r="B55" i="1"/>
  <c r="B60" i="1"/>
  <c r="B40" i="1"/>
  <c r="B37" i="1"/>
  <c r="B22" i="1"/>
  <c r="R9" i="11"/>
  <c r="T4" i="5"/>
  <c r="T4" i="8"/>
  <c r="R19" i="11" s="1"/>
  <c r="T4" i="7"/>
  <c r="R16" i="11" s="1"/>
  <c r="T4" i="6"/>
  <c r="R13" i="11" s="1"/>
  <c r="T4" i="10"/>
  <c r="R26" i="11" s="1"/>
  <c r="T4" i="9"/>
  <c r="R23" i="11" s="1"/>
  <c r="B98" i="9" l="1"/>
  <c r="B92" i="9"/>
  <c r="B28" i="1"/>
  <c r="B84" i="1"/>
  <c r="B121" i="1"/>
  <c r="B124" i="1"/>
  <c r="B123" i="1"/>
  <c r="B128" i="1"/>
  <c r="B127" i="1"/>
  <c r="B56" i="1"/>
  <c r="B50" i="8"/>
  <c r="B51" i="8"/>
  <c r="B36" i="8"/>
  <c r="B21" i="8"/>
  <c r="B20" i="8"/>
  <c r="B69" i="6"/>
  <c r="B66" i="6"/>
  <c r="B79" i="6"/>
  <c r="B77" i="6"/>
  <c r="B113" i="6"/>
  <c r="B112" i="6"/>
  <c r="B18" i="5"/>
  <c r="B159" i="5"/>
  <c r="B139" i="5"/>
  <c r="B161" i="5"/>
  <c r="B69" i="5"/>
  <c r="B134" i="5"/>
  <c r="B154" i="5"/>
  <c r="B36" i="5"/>
  <c r="B102" i="5"/>
  <c r="B101" i="5"/>
  <c r="B145" i="5"/>
  <c r="B99" i="9"/>
  <c r="B104" i="9"/>
  <c r="B114" i="8"/>
  <c r="B110" i="8"/>
  <c r="B94" i="8"/>
  <c r="B75" i="8"/>
  <c r="B58" i="8"/>
  <c r="B54" i="8"/>
  <c r="B33" i="8"/>
  <c r="B18" i="8"/>
  <c r="B98" i="6"/>
  <c r="B110" i="6"/>
  <c r="B52" i="6"/>
  <c r="B51" i="5"/>
  <c r="B113" i="5"/>
  <c r="B75" i="5"/>
  <c r="B35" i="5"/>
  <c r="B23" i="5"/>
  <c r="B19" i="5"/>
  <c r="B105" i="1"/>
  <c r="B101" i="1"/>
  <c r="B57" i="1"/>
  <c r="B61" i="1"/>
  <c r="B41" i="1"/>
  <c r="B38" i="1"/>
  <c r="B24" i="1"/>
  <c r="B23" i="1"/>
  <c r="T92" i="1"/>
  <c r="R8" i="11" s="1"/>
  <c r="T44" i="1"/>
  <c r="R7" i="11" s="1"/>
  <c r="T8" i="1"/>
  <c r="R6" i="11" s="1"/>
  <c r="B93" i="9" l="1"/>
  <c r="B29" i="1"/>
  <c r="B58" i="1"/>
  <c r="B85" i="1"/>
  <c r="B125" i="1"/>
  <c r="B75" i="1"/>
  <c r="B76" i="1"/>
  <c r="B112" i="1"/>
  <c r="B111" i="1"/>
  <c r="B37" i="8"/>
  <c r="B155" i="5"/>
  <c r="B103" i="5"/>
  <c r="B70" i="5"/>
  <c r="B162" i="5"/>
  <c r="B140" i="5"/>
  <c r="B88" i="5"/>
  <c r="B87" i="5"/>
  <c r="B135" i="5"/>
  <c r="B146" i="5"/>
  <c r="B100" i="9"/>
  <c r="B105" i="9"/>
  <c r="B117" i="8"/>
  <c r="B95" i="8"/>
  <c r="B76" i="8"/>
  <c r="B55" i="8"/>
  <c r="B59" i="8"/>
  <c r="B34" i="8"/>
  <c r="B99" i="6"/>
  <c r="B53" i="6"/>
  <c r="B115" i="5"/>
  <c r="B89" i="5"/>
  <c r="B76" i="5"/>
  <c r="B37" i="5"/>
  <c r="B24" i="5"/>
  <c r="B106" i="1"/>
  <c r="B102" i="1"/>
  <c r="B62" i="1"/>
  <c r="B25" i="1"/>
  <c r="T4" i="1"/>
  <c r="R5" i="11" s="1"/>
  <c r="R30" i="11" s="1"/>
  <c r="B94" i="9" l="1"/>
  <c r="B95" i="9"/>
  <c r="B86" i="1"/>
  <c r="B77" i="1"/>
  <c r="B78" i="1"/>
  <c r="B38" i="8"/>
  <c r="B71" i="5"/>
  <c r="B136" i="5"/>
  <c r="B141" i="5"/>
  <c r="B142" i="5"/>
  <c r="B101" i="9"/>
  <c r="B106" i="9"/>
  <c r="B97" i="8"/>
  <c r="B60" i="8"/>
  <c r="B55" i="6"/>
  <c r="B77" i="5"/>
  <c r="B39" i="5"/>
  <c r="B107" i="1"/>
  <c r="B87" i="1"/>
  <c r="B63" i="1"/>
  <c r="N93" i="17"/>
  <c r="M93" i="17"/>
  <c r="N40" i="16"/>
  <c r="M40" i="16"/>
  <c r="M50" i="15"/>
  <c r="N50" i="15"/>
  <c r="N44" i="14"/>
  <c r="M44" i="14"/>
  <c r="N48" i="13"/>
  <c r="M48" i="13"/>
  <c r="N46" i="18"/>
  <c r="M46" i="18"/>
  <c r="E7" i="4"/>
  <c r="G7" i="4" s="1"/>
  <c r="J40" i="1"/>
  <c r="J83" i="5"/>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48" i="15"/>
  <c r="O47" i="15"/>
  <c r="O46" i="15"/>
  <c r="O45" i="15"/>
  <c r="O44" i="15"/>
  <c r="O43" i="15"/>
  <c r="O42" i="15"/>
  <c r="O41" i="15"/>
  <c r="O40" i="15"/>
  <c r="O39" i="15"/>
  <c r="O38" i="15"/>
  <c r="O37" i="15"/>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Y48" i="15"/>
  <c r="I48" i="15"/>
  <c r="X48" i="15"/>
  <c r="Y47" i="15"/>
  <c r="I47" i="15"/>
  <c r="U47" i="15"/>
  <c r="Y46" i="15"/>
  <c r="I46" i="15"/>
  <c r="X46" i="15"/>
  <c r="Y45" i="15"/>
  <c r="I45" i="15"/>
  <c r="U45" i="15"/>
  <c r="Y44" i="15"/>
  <c r="I44" i="15"/>
  <c r="X44" i="15"/>
  <c r="Y43" i="15"/>
  <c r="I43" i="15"/>
  <c r="U43" i="15"/>
  <c r="Y42" i="15"/>
  <c r="I42" i="15"/>
  <c r="X42" i="15"/>
  <c r="Y41" i="15"/>
  <c r="I41" i="15"/>
  <c r="U41" i="15"/>
  <c r="I40" i="15"/>
  <c r="X40" i="15"/>
  <c r="X27" i="15"/>
  <c r="I26" i="15"/>
  <c r="U26" i="15"/>
  <c r="I25" i="15"/>
  <c r="X25" i="15"/>
  <c r="I24" i="15"/>
  <c r="U24" i="15"/>
  <c r="I23" i="15"/>
  <c r="X23" i="15"/>
  <c r="I22" i="15"/>
  <c r="U22" i="15"/>
  <c r="I21" i="15"/>
  <c r="X21" i="15"/>
  <c r="I20" i="15"/>
  <c r="U20" i="15"/>
  <c r="I19" i="15"/>
  <c r="X19" i="15"/>
  <c r="Y42" i="14"/>
  <c r="O42" i="14"/>
  <c r="I42" i="14"/>
  <c r="X42" i="14"/>
  <c r="Y41" i="14"/>
  <c r="I41" i="14"/>
  <c r="U41" i="14"/>
  <c r="Y40" i="14"/>
  <c r="O40" i="14"/>
  <c r="I40" i="14"/>
  <c r="X40" i="14"/>
  <c r="Y39" i="14"/>
  <c r="I39" i="14"/>
  <c r="U39" i="14"/>
  <c r="Y38" i="14"/>
  <c r="O38" i="14"/>
  <c r="I38" i="14"/>
  <c r="X38" i="14"/>
  <c r="Y37" i="14"/>
  <c r="I37" i="14"/>
  <c r="U37" i="14"/>
  <c r="Y36" i="14"/>
  <c r="O36" i="14"/>
  <c r="I36" i="14"/>
  <c r="X36" i="14"/>
  <c r="Y35" i="14"/>
  <c r="I35" i="14"/>
  <c r="U35" i="14"/>
  <c r="Y34" i="14"/>
  <c r="O34" i="14"/>
  <c r="I34" i="14"/>
  <c r="X34" i="14"/>
  <c r="Y27" i="14"/>
  <c r="O27" i="14"/>
  <c r="I27" i="14"/>
  <c r="X27" i="14"/>
  <c r="Y26" i="14"/>
  <c r="I26" i="14"/>
  <c r="U26" i="14"/>
  <c r="Y25" i="14"/>
  <c r="I25" i="14"/>
  <c r="X25" i="14"/>
  <c r="Y24" i="14"/>
  <c r="I24" i="14"/>
  <c r="U24" i="14"/>
  <c r="I23" i="14"/>
  <c r="X23" i="14"/>
  <c r="I22" i="14"/>
  <c r="U22" i="14"/>
  <c r="I21" i="14"/>
  <c r="X21" i="14"/>
  <c r="I20" i="14"/>
  <c r="U20" i="14"/>
  <c r="O19" i="14"/>
  <c r="I19" i="14"/>
  <c r="X19" i="14"/>
  <c r="Y46" i="13"/>
  <c r="I46" i="13"/>
  <c r="X46" i="13"/>
  <c r="Y45" i="13"/>
  <c r="I45" i="13"/>
  <c r="U45" i="13"/>
  <c r="Y44" i="13"/>
  <c r="I44" i="13"/>
  <c r="X44" i="13"/>
  <c r="Y43" i="13"/>
  <c r="I43" i="13"/>
  <c r="U43" i="13"/>
  <c r="Y42" i="13"/>
  <c r="I42" i="13"/>
  <c r="X42" i="13"/>
  <c r="Y41" i="13"/>
  <c r="I41" i="13"/>
  <c r="U41" i="13"/>
  <c r="Y40" i="13"/>
  <c r="I40" i="13"/>
  <c r="X40" i="13"/>
  <c r="Y39" i="13"/>
  <c r="I39" i="13"/>
  <c r="U39" i="13"/>
  <c r="Y38" i="13"/>
  <c r="I38" i="13"/>
  <c r="X38" i="13"/>
  <c r="Y37" i="13"/>
  <c r="I37" i="13"/>
  <c r="U37" i="13"/>
  <c r="Y36" i="13"/>
  <c r="I36" i="13"/>
  <c r="X36" i="13"/>
  <c r="Y35" i="13"/>
  <c r="I35" i="13"/>
  <c r="U35" i="13"/>
  <c r="Y34" i="13"/>
  <c r="I34" i="13"/>
  <c r="X34" i="13"/>
  <c r="Y33" i="13"/>
  <c r="I33" i="13"/>
  <c r="U33" i="13"/>
  <c r="Y32" i="13"/>
  <c r="I32" i="13"/>
  <c r="X32" i="13"/>
  <c r="Y25" i="13"/>
  <c r="I25" i="13"/>
  <c r="X25" i="13"/>
  <c r="Y24" i="13"/>
  <c r="I24" i="13"/>
  <c r="U24" i="13"/>
  <c r="Y23" i="13"/>
  <c r="I23" i="13"/>
  <c r="X23" i="13"/>
  <c r="I22" i="13"/>
  <c r="U22" i="13"/>
  <c r="I21" i="13"/>
  <c r="X21" i="13"/>
  <c r="I20" i="13"/>
  <c r="U20" i="13"/>
  <c r="I19" i="13"/>
  <c r="X19" i="13"/>
  <c r="I18" i="13"/>
  <c r="U18" i="13"/>
  <c r="Y44" i="18"/>
  <c r="I44" i="18"/>
  <c r="X44" i="18"/>
  <c r="Y43" i="18"/>
  <c r="I43" i="18"/>
  <c r="U43" i="18"/>
  <c r="Y42" i="18"/>
  <c r="I42" i="18"/>
  <c r="X42" i="18"/>
  <c r="Y41" i="18"/>
  <c r="X41" i="18"/>
  <c r="I41" i="18"/>
  <c r="U41" i="18"/>
  <c r="Y40" i="18"/>
  <c r="I40" i="18"/>
  <c r="X40" i="18"/>
  <c r="Y39" i="18"/>
  <c r="I39" i="18"/>
  <c r="U39" i="18"/>
  <c r="Y38" i="18"/>
  <c r="I38" i="18"/>
  <c r="X38" i="18"/>
  <c r="Y37" i="18"/>
  <c r="I37" i="18"/>
  <c r="U37" i="18"/>
  <c r="Y36" i="18"/>
  <c r="I36" i="18"/>
  <c r="X36" i="18"/>
  <c r="I25" i="18"/>
  <c r="X25" i="18"/>
  <c r="I24" i="18"/>
  <c r="U24" i="18"/>
  <c r="I23" i="18"/>
  <c r="X23" i="18"/>
  <c r="I22" i="18"/>
  <c r="U22" i="18"/>
  <c r="I21" i="18"/>
  <c r="X21" i="18"/>
  <c r="I20" i="18"/>
  <c r="U20" i="18"/>
  <c r="I19" i="18"/>
  <c r="X19" i="18"/>
  <c r="I18" i="18"/>
  <c r="U18" i="18"/>
  <c r="Y38" i="16"/>
  <c r="I38" i="16"/>
  <c r="X38" i="16"/>
  <c r="Y37" i="16"/>
  <c r="I37" i="16"/>
  <c r="U37" i="16"/>
  <c r="Y36" i="16"/>
  <c r="I36" i="16"/>
  <c r="X36" i="16"/>
  <c r="Y35" i="16"/>
  <c r="I35" i="16"/>
  <c r="U35" i="16"/>
  <c r="Y34" i="16"/>
  <c r="I34" i="16"/>
  <c r="X34" i="16"/>
  <c r="Y33" i="16"/>
  <c r="I33" i="16"/>
  <c r="U33" i="16"/>
  <c r="I25" i="16"/>
  <c r="X25" i="16"/>
  <c r="I24" i="16"/>
  <c r="U24" i="16"/>
  <c r="I23" i="16"/>
  <c r="X23" i="16"/>
  <c r="I22" i="16"/>
  <c r="U22" i="16"/>
  <c r="I21" i="16"/>
  <c r="X21" i="16"/>
  <c r="I20" i="16"/>
  <c r="U20" i="16"/>
  <c r="I19" i="16"/>
  <c r="X19" i="16"/>
  <c r="I18" i="16"/>
  <c r="U18" i="16"/>
  <c r="Y91" i="17"/>
  <c r="I91" i="17"/>
  <c r="X91" i="17"/>
  <c r="Y90" i="17"/>
  <c r="I90" i="17"/>
  <c r="U90" i="17"/>
  <c r="Y89" i="17"/>
  <c r="I89" i="17"/>
  <c r="X89" i="17"/>
  <c r="Y88" i="17"/>
  <c r="I88" i="17"/>
  <c r="U88" i="17"/>
  <c r="Y87" i="17"/>
  <c r="I87" i="17"/>
  <c r="X87" i="17"/>
  <c r="Y80" i="17"/>
  <c r="I80" i="17"/>
  <c r="X80" i="17"/>
  <c r="Y79" i="17"/>
  <c r="I79" i="17"/>
  <c r="U79" i="17"/>
  <c r="Y78" i="17"/>
  <c r="I78" i="17"/>
  <c r="X78" i="17"/>
  <c r="Y77" i="17"/>
  <c r="I77" i="17"/>
  <c r="U77" i="17"/>
  <c r="Y76" i="17"/>
  <c r="I76" i="17"/>
  <c r="X76" i="17"/>
  <c r="Y75" i="17"/>
  <c r="I75" i="17"/>
  <c r="U75" i="17"/>
  <c r="Y74" i="17"/>
  <c r="I74" i="17"/>
  <c r="X74" i="17"/>
  <c r="Y73" i="17"/>
  <c r="I73" i="17"/>
  <c r="U73" i="17"/>
  <c r="I63" i="17"/>
  <c r="X63" i="17"/>
  <c r="I62" i="17"/>
  <c r="U62" i="17"/>
  <c r="I61" i="17"/>
  <c r="X61" i="17"/>
  <c r="I60" i="17"/>
  <c r="U60" i="17"/>
  <c r="I59" i="17"/>
  <c r="X59" i="17"/>
  <c r="I58" i="17"/>
  <c r="U58" i="17"/>
  <c r="I57" i="17"/>
  <c r="X57" i="17"/>
  <c r="I56" i="17"/>
  <c r="U56" i="17"/>
  <c r="I55" i="17"/>
  <c r="X55" i="17"/>
  <c r="I54" i="17"/>
  <c r="U54" i="17"/>
  <c r="I53" i="17"/>
  <c r="X53" i="17"/>
  <c r="I44" i="17"/>
  <c r="X44" i="17"/>
  <c r="I43" i="17"/>
  <c r="U43" i="17"/>
  <c r="I42" i="17"/>
  <c r="X42" i="17"/>
  <c r="I41" i="17"/>
  <c r="U41" i="17"/>
  <c r="I40" i="17"/>
  <c r="X40" i="17"/>
  <c r="I39" i="17"/>
  <c r="U39" i="17"/>
  <c r="I38" i="17"/>
  <c r="X38" i="17"/>
  <c r="I37" i="17"/>
  <c r="U37" i="17"/>
  <c r="I36" i="17"/>
  <c r="X36" i="17"/>
  <c r="I27" i="17"/>
  <c r="X27" i="17"/>
  <c r="I26" i="17"/>
  <c r="U26" i="17"/>
  <c r="I25" i="17"/>
  <c r="X25" i="17"/>
  <c r="I24" i="17"/>
  <c r="X24" i="17"/>
  <c r="I23" i="17"/>
  <c r="X23" i="17"/>
  <c r="I22" i="17"/>
  <c r="X22" i="17"/>
  <c r="I21" i="17"/>
  <c r="X21" i="17"/>
  <c r="I20" i="17"/>
  <c r="X20" i="17"/>
  <c r="I19" i="17"/>
  <c r="X19" i="17"/>
  <c r="J128" i="1"/>
  <c r="J127" i="1"/>
  <c r="J125" i="1"/>
  <c r="J124" i="1"/>
  <c r="J123" i="1"/>
  <c r="J122" i="1"/>
  <c r="J121" i="1"/>
  <c r="J120" i="1"/>
  <c r="J118" i="1"/>
  <c r="J117" i="1"/>
  <c r="J112" i="1"/>
  <c r="J111" i="1"/>
  <c r="J110" i="1"/>
  <c r="J108" i="1"/>
  <c r="J107" i="1"/>
  <c r="J106" i="1"/>
  <c r="J105" i="1"/>
  <c r="J104" i="1"/>
  <c r="J102" i="1"/>
  <c r="J101" i="1"/>
  <c r="J100" i="1"/>
  <c r="J98" i="1"/>
  <c r="J97" i="1"/>
  <c r="J96" i="1"/>
  <c r="J89" i="1"/>
  <c r="J87" i="1"/>
  <c r="J86" i="1"/>
  <c r="J85" i="1"/>
  <c r="J84" i="1"/>
  <c r="J83" i="1"/>
  <c r="J82" i="1"/>
  <c r="J81" i="1"/>
  <c r="J79" i="1"/>
  <c r="J78" i="1"/>
  <c r="J77" i="1"/>
  <c r="J76" i="1"/>
  <c r="J75" i="1"/>
  <c r="J74" i="1"/>
  <c r="J73" i="1"/>
  <c r="J72" i="1"/>
  <c r="J71" i="1"/>
  <c r="J70" i="1"/>
  <c r="J69" i="1"/>
  <c r="J68" i="1"/>
  <c r="J63" i="1"/>
  <c r="J60" i="1"/>
  <c r="J59" i="1"/>
  <c r="J56" i="1"/>
  <c r="J55" i="1"/>
  <c r="J54" i="1"/>
  <c r="J53" i="1"/>
  <c r="J52" i="1"/>
  <c r="J50" i="1"/>
  <c r="J49" i="1"/>
  <c r="J48" i="1"/>
  <c r="J41" i="1"/>
  <c r="J38" i="1"/>
  <c r="J37" i="1"/>
  <c r="J35" i="1"/>
  <c r="J34" i="1"/>
  <c r="J29" i="1"/>
  <c r="J28" i="1"/>
  <c r="J27" i="1"/>
  <c r="J25" i="1"/>
  <c r="J24" i="1"/>
  <c r="J23" i="1"/>
  <c r="J22" i="1"/>
  <c r="J21" i="1"/>
  <c r="J19" i="1"/>
  <c r="J17" i="1"/>
  <c r="J16" i="1"/>
  <c r="J15" i="1"/>
  <c r="J14" i="1"/>
  <c r="J13" i="1"/>
  <c r="J12" i="1"/>
  <c r="P92" i="10"/>
  <c r="P8" i="10"/>
  <c r="P159" i="10"/>
  <c r="P109" i="9"/>
  <c r="P8" i="9"/>
  <c r="H24" i="11" s="1"/>
  <c r="P79" i="8"/>
  <c r="P43" i="8"/>
  <c r="P8" i="8"/>
  <c r="P43" i="7"/>
  <c r="P8" i="7"/>
  <c r="P83" i="6"/>
  <c r="P8" i="6"/>
  <c r="P119" i="5"/>
  <c r="N12" i="11" s="1"/>
  <c r="P92" i="5"/>
  <c r="P8" i="5"/>
  <c r="H10" i="11" s="1"/>
  <c r="P92" i="1"/>
  <c r="P44" i="1"/>
  <c r="P8" i="1"/>
  <c r="H6" i="11" s="1"/>
  <c r="B90" i="5"/>
  <c r="B91" i="5"/>
  <c r="B92" i="5"/>
  <c r="B93" i="5"/>
  <c r="B54" i="5"/>
  <c r="B79" i="1" l="1"/>
  <c r="B80" i="1"/>
  <c r="B39" i="8"/>
  <c r="B40" i="8"/>
  <c r="B72" i="5"/>
  <c r="B137" i="5"/>
  <c r="B95" i="5"/>
  <c r="B94" i="5"/>
  <c r="B78" i="5"/>
  <c r="B108" i="1"/>
  <c r="B88" i="1"/>
  <c r="N11" i="11"/>
  <c r="H12" i="11"/>
  <c r="H11" i="11"/>
  <c r="N22" i="11"/>
  <c r="H22" i="11"/>
  <c r="N27" i="11"/>
  <c r="H27" i="11"/>
  <c r="N7" i="11"/>
  <c r="H7" i="11"/>
  <c r="N18" i="11"/>
  <c r="H18" i="11"/>
  <c r="N28" i="11"/>
  <c r="H28" i="11"/>
  <c r="N8" i="11"/>
  <c r="H8" i="11"/>
  <c r="N15" i="11"/>
  <c r="H15" i="11"/>
  <c r="N21" i="11"/>
  <c r="H21" i="11"/>
  <c r="N29" i="11"/>
  <c r="H29" i="11"/>
  <c r="N25" i="11"/>
  <c r="H25" i="11"/>
  <c r="N20" i="11"/>
  <c r="H20" i="11"/>
  <c r="N17" i="11"/>
  <c r="H17" i="11"/>
  <c r="N14" i="11"/>
  <c r="H14" i="11"/>
  <c r="N9" i="11"/>
  <c r="P4" i="5"/>
  <c r="U3" i="5" s="1"/>
  <c r="H9" i="11" s="1"/>
  <c r="N6" i="11"/>
  <c r="P4" i="1"/>
  <c r="C1" i="11"/>
  <c r="X43" i="15"/>
  <c r="X45" i="15"/>
  <c r="U40" i="15"/>
  <c r="Y40" i="15" s="1"/>
  <c r="U42" i="15"/>
  <c r="U44" i="15"/>
  <c r="U46" i="15"/>
  <c r="U48" i="15"/>
  <c r="X41" i="15"/>
  <c r="X47" i="15"/>
  <c r="U19" i="15"/>
  <c r="Y19" i="15" s="1"/>
  <c r="U21" i="15"/>
  <c r="Y21" i="15" s="1"/>
  <c r="U23" i="15"/>
  <c r="Y23" i="15" s="1"/>
  <c r="U25" i="15"/>
  <c r="Y25" i="15" s="1"/>
  <c r="Y27" i="15"/>
  <c r="X22" i="15"/>
  <c r="Y22" i="15" s="1"/>
  <c r="X24" i="15"/>
  <c r="Y24" i="15" s="1"/>
  <c r="X20" i="15"/>
  <c r="Y20" i="15" s="1"/>
  <c r="X26" i="15"/>
  <c r="Y26" i="15" s="1"/>
  <c r="X35" i="14"/>
  <c r="X37" i="14"/>
  <c r="O23" i="14"/>
  <c r="X24" i="14"/>
  <c r="O25" i="14"/>
  <c r="U34" i="14"/>
  <c r="U36" i="14"/>
  <c r="U38" i="14"/>
  <c r="U40" i="14"/>
  <c r="U42" i="14"/>
  <c r="X39" i="14"/>
  <c r="X41" i="14"/>
  <c r="O21" i="14"/>
  <c r="O35" i="14"/>
  <c r="O37" i="14"/>
  <c r="O39" i="14"/>
  <c r="O41" i="14"/>
  <c r="X22" i="14"/>
  <c r="U19" i="14"/>
  <c r="Y19" i="14" s="1"/>
  <c r="U21" i="14"/>
  <c r="U23" i="14"/>
  <c r="U25" i="14"/>
  <c r="U27" i="14"/>
  <c r="X20" i="14"/>
  <c r="X26" i="14"/>
  <c r="O20" i="14"/>
  <c r="Y20" i="14" s="1"/>
  <c r="O22" i="14"/>
  <c r="Y22" i="14" s="1"/>
  <c r="O24" i="14"/>
  <c r="O26" i="14"/>
  <c r="X39" i="13"/>
  <c r="X41" i="13"/>
  <c r="X45" i="13"/>
  <c r="U38" i="13"/>
  <c r="U40" i="13"/>
  <c r="U42" i="13"/>
  <c r="U44" i="13"/>
  <c r="U46" i="13"/>
  <c r="X37" i="13"/>
  <c r="U32" i="13"/>
  <c r="U34" i="13"/>
  <c r="U36" i="13"/>
  <c r="X43" i="13"/>
  <c r="X33" i="13"/>
  <c r="X35" i="13"/>
  <c r="X20" i="13"/>
  <c r="Y20" i="13" s="1"/>
  <c r="X22" i="13"/>
  <c r="Y22" i="13" s="1"/>
  <c r="X24" i="13"/>
  <c r="U19" i="13"/>
  <c r="Y19" i="13" s="1"/>
  <c r="U21" i="13"/>
  <c r="Y21" i="13" s="1"/>
  <c r="U23" i="13"/>
  <c r="U25" i="13"/>
  <c r="X18" i="13"/>
  <c r="Y18" i="13" s="1"/>
  <c r="X39" i="18"/>
  <c r="U36" i="18"/>
  <c r="U38" i="18"/>
  <c r="U40" i="18"/>
  <c r="U42" i="18"/>
  <c r="U44" i="18"/>
  <c r="X37" i="18"/>
  <c r="X43" i="18"/>
  <c r="X22" i="18"/>
  <c r="Y22" i="18" s="1"/>
  <c r="U19" i="18"/>
  <c r="Y19" i="18" s="1"/>
  <c r="U21" i="18"/>
  <c r="Y21" i="18" s="1"/>
  <c r="U23" i="18"/>
  <c r="Y23" i="18" s="1"/>
  <c r="U25" i="18"/>
  <c r="Y25" i="18" s="1"/>
  <c r="X18" i="18"/>
  <c r="Y18" i="18" s="1"/>
  <c r="X20" i="18"/>
  <c r="Y20" i="18" s="1"/>
  <c r="X24" i="18"/>
  <c r="Y24" i="18" s="1"/>
  <c r="U34" i="16"/>
  <c r="U36" i="16"/>
  <c r="U38" i="16"/>
  <c r="X33" i="16"/>
  <c r="X35" i="16"/>
  <c r="X37" i="16"/>
  <c r="U19" i="16"/>
  <c r="Y19" i="16" s="1"/>
  <c r="U21" i="16"/>
  <c r="Y21" i="16" s="1"/>
  <c r="U23" i="16"/>
  <c r="Y23" i="16" s="1"/>
  <c r="U25" i="16"/>
  <c r="Y25" i="16" s="1"/>
  <c r="X20" i="16"/>
  <c r="Y20" i="16" s="1"/>
  <c r="X18" i="16"/>
  <c r="Y18" i="16" s="1"/>
  <c r="X22" i="16"/>
  <c r="Y22" i="16" s="1"/>
  <c r="X24" i="16"/>
  <c r="Y24" i="16" s="1"/>
  <c r="X88" i="17"/>
  <c r="U87" i="17"/>
  <c r="U89" i="17"/>
  <c r="U91" i="17"/>
  <c r="X90" i="17"/>
  <c r="X75" i="17"/>
  <c r="U74" i="17"/>
  <c r="U76" i="17"/>
  <c r="U78" i="17"/>
  <c r="U80" i="17"/>
  <c r="X73" i="17"/>
  <c r="X77" i="17"/>
  <c r="X79" i="17"/>
  <c r="X56" i="17"/>
  <c r="Y56" i="17" s="1"/>
  <c r="U53" i="17"/>
  <c r="Y53" i="17" s="1"/>
  <c r="U55" i="17"/>
  <c r="Y55" i="17" s="1"/>
  <c r="U57" i="17"/>
  <c r="Y57" i="17" s="1"/>
  <c r="U59" i="17"/>
  <c r="Y59" i="17" s="1"/>
  <c r="U61" i="17"/>
  <c r="Y61" i="17" s="1"/>
  <c r="U63" i="17"/>
  <c r="Y63" i="17" s="1"/>
  <c r="X58" i="17"/>
  <c r="Y58" i="17" s="1"/>
  <c r="X60" i="17"/>
  <c r="Y60" i="17" s="1"/>
  <c r="X54" i="17"/>
  <c r="Y54" i="17" s="1"/>
  <c r="X62" i="17"/>
  <c r="Y62" i="17" s="1"/>
  <c r="U36" i="17"/>
  <c r="Y36" i="17" s="1"/>
  <c r="U38" i="17"/>
  <c r="Y38" i="17" s="1"/>
  <c r="U40" i="17"/>
  <c r="Y40" i="17" s="1"/>
  <c r="U42" i="17"/>
  <c r="Y42" i="17" s="1"/>
  <c r="U44" i="17"/>
  <c r="Y44" i="17" s="1"/>
  <c r="X37" i="17"/>
  <c r="Y37" i="17" s="1"/>
  <c r="X39" i="17"/>
  <c r="Y39" i="17" s="1"/>
  <c r="X41" i="17"/>
  <c r="Y41" i="17" s="1"/>
  <c r="X43" i="17"/>
  <c r="Y43" i="17" s="1"/>
  <c r="U24" i="17"/>
  <c r="Y24" i="17" s="1"/>
  <c r="U22" i="17"/>
  <c r="Y22" i="17" s="1"/>
  <c r="U20" i="17"/>
  <c r="Y20" i="17" s="1"/>
  <c r="X26" i="17"/>
  <c r="Y26" i="17" s="1"/>
  <c r="U19" i="17"/>
  <c r="Y19" i="17" s="1"/>
  <c r="U21" i="17"/>
  <c r="Y21" i="17" s="1"/>
  <c r="U23" i="17"/>
  <c r="Y23" i="17" s="1"/>
  <c r="U25" i="17"/>
  <c r="Y25" i="17" s="1"/>
  <c r="Y27" i="17"/>
  <c r="N10" i="11"/>
  <c r="P4" i="7"/>
  <c r="P4" i="9"/>
  <c r="N24" i="11"/>
  <c r="P4" i="10"/>
  <c r="P4" i="8"/>
  <c r="N19" i="11" s="1"/>
  <c r="P4" i="6"/>
  <c r="E1" i="5"/>
  <c r="B81" i="1" l="1"/>
  <c r="Y23" i="14"/>
  <c r="Y21" i="14"/>
  <c r="B96" i="5"/>
  <c r="B79" i="5"/>
  <c r="B89" i="1"/>
  <c r="N26" i="11"/>
  <c r="U3" i="10"/>
  <c r="H26" i="11" s="1"/>
  <c r="N16" i="11"/>
  <c r="U3" i="7"/>
  <c r="H16" i="11" s="1"/>
  <c r="N13" i="11"/>
  <c r="U3" i="6"/>
  <c r="H13" i="11" s="1"/>
  <c r="N23" i="11"/>
  <c r="U3" i="9"/>
  <c r="H23" i="11" s="1"/>
  <c r="N5" i="11"/>
  <c r="U3" i="1"/>
  <c r="H5" i="11" s="1"/>
  <c r="C1" i="18"/>
  <c r="B98" i="5" l="1"/>
  <c r="B80" i="5"/>
  <c r="N30" i="11"/>
  <c r="O49" i="18"/>
  <c r="O48" i="18"/>
  <c r="O46" i="18"/>
  <c r="X45" i="18"/>
  <c r="U45" i="18"/>
  <c r="O45" i="18"/>
  <c r="I45" i="18"/>
  <c r="Y35" i="18"/>
  <c r="I35" i="18"/>
  <c r="U35" i="18"/>
  <c r="Y34" i="18"/>
  <c r="U34" i="18"/>
  <c r="I34" i="18"/>
  <c r="X34" i="18"/>
  <c r="Y33" i="18"/>
  <c r="I33" i="18"/>
  <c r="X33" i="18"/>
  <c r="Y32" i="18"/>
  <c r="I32" i="18"/>
  <c r="X32" i="18"/>
  <c r="Y31" i="18"/>
  <c r="I31" i="18"/>
  <c r="U31" i="18"/>
  <c r="Y30" i="18"/>
  <c r="U30" i="18"/>
  <c r="I30" i="18"/>
  <c r="X30" i="18"/>
  <c r="Y29" i="18"/>
  <c r="I29" i="18"/>
  <c r="X29" i="18"/>
  <c r="Y28" i="18"/>
  <c r="I28" i="18"/>
  <c r="Y27" i="18"/>
  <c r="I27" i="18"/>
  <c r="U27" i="18"/>
  <c r="U26" i="18"/>
  <c r="I26" i="18"/>
  <c r="X26" i="18"/>
  <c r="I17" i="18"/>
  <c r="I16" i="18"/>
  <c r="X16" i="18"/>
  <c r="I15" i="18"/>
  <c r="U15" i="18"/>
  <c r="U14" i="18"/>
  <c r="I14" i="18"/>
  <c r="X14" i="18"/>
  <c r="I13" i="18"/>
  <c r="I12" i="18"/>
  <c r="X12" i="18"/>
  <c r="I11" i="18"/>
  <c r="U11" i="18"/>
  <c r="U10" i="18"/>
  <c r="I10" i="18"/>
  <c r="X10" i="18"/>
  <c r="I9" i="18"/>
  <c r="X9" i="18"/>
  <c r="B4" i="18"/>
  <c r="Y26" i="18" l="1"/>
  <c r="Y10" i="18"/>
  <c r="Y14" i="18"/>
  <c r="I4" i="18"/>
  <c r="K33" i="11" s="1"/>
  <c r="B81" i="5"/>
  <c r="X11" i="18"/>
  <c r="X15" i="18"/>
  <c r="Y15" i="18" s="1"/>
  <c r="X27" i="18"/>
  <c r="X31" i="18"/>
  <c r="X35" i="18"/>
  <c r="O9" i="18"/>
  <c r="O4" i="18" s="1"/>
  <c r="U12" i="18"/>
  <c r="Y12" i="18" s="1"/>
  <c r="U16" i="18"/>
  <c r="Y16" i="18" s="1"/>
  <c r="U28" i="18"/>
  <c r="U32" i="18"/>
  <c r="U9" i="18"/>
  <c r="U13" i="18"/>
  <c r="Y13" i="18" s="1"/>
  <c r="U17" i="18"/>
  <c r="U29" i="18"/>
  <c r="U33" i="18"/>
  <c r="X13" i="18"/>
  <c r="X17" i="18"/>
  <c r="X28" i="18"/>
  <c r="X4" i="18" l="1"/>
  <c r="Y17" i="18"/>
  <c r="Y11" i="18"/>
  <c r="Y47" i="18" s="1"/>
  <c r="U4" i="18"/>
  <c r="M33" i="11" s="1"/>
  <c r="Y9" i="18"/>
  <c r="Y46" i="18" s="1"/>
  <c r="B82" i="5"/>
  <c r="O33" i="11"/>
  <c r="L33" i="11"/>
  <c r="B102" i="6"/>
  <c r="B117" i="5"/>
  <c r="B41" i="5"/>
  <c r="B30" i="1"/>
  <c r="B100" i="8"/>
  <c r="B36" i="6"/>
  <c r="I51" i="17"/>
  <c r="X51" i="17"/>
  <c r="I50" i="17"/>
  <c r="X50" i="17"/>
  <c r="I49" i="17"/>
  <c r="X49" i="17"/>
  <c r="I48" i="17"/>
  <c r="X48" i="17"/>
  <c r="I47" i="17"/>
  <c r="X47" i="17"/>
  <c r="I14" i="17"/>
  <c r="U14" i="17"/>
  <c r="I13" i="17"/>
  <c r="X13" i="17"/>
  <c r="I12" i="17"/>
  <c r="U12" i="17"/>
  <c r="I11" i="17"/>
  <c r="X11" i="17"/>
  <c r="I69" i="17"/>
  <c r="X69" i="17"/>
  <c r="I68" i="17"/>
  <c r="X68" i="17"/>
  <c r="I67" i="17"/>
  <c r="X67" i="17"/>
  <c r="I66" i="17"/>
  <c r="X66" i="17"/>
  <c r="I65" i="17"/>
  <c r="X65" i="17"/>
  <c r="I64" i="17"/>
  <c r="X64" i="17"/>
  <c r="I52" i="17"/>
  <c r="X52" i="17"/>
  <c r="I46" i="17"/>
  <c r="X46" i="17"/>
  <c r="I45" i="17"/>
  <c r="X45" i="17"/>
  <c r="Y72" i="17"/>
  <c r="I72" i="17"/>
  <c r="X72" i="17"/>
  <c r="Y71" i="17"/>
  <c r="I71" i="17"/>
  <c r="X71" i="17"/>
  <c r="Y70" i="17"/>
  <c r="I70" i="17"/>
  <c r="X70" i="17"/>
  <c r="I35" i="17"/>
  <c r="X35" i="17"/>
  <c r="I34" i="17"/>
  <c r="X34" i="17"/>
  <c r="I33" i="17"/>
  <c r="X33" i="17"/>
  <c r="I29" i="17"/>
  <c r="X29" i="17"/>
  <c r="I28" i="17"/>
  <c r="X28" i="17"/>
  <c r="I18" i="17"/>
  <c r="X18" i="17"/>
  <c r="I17" i="17"/>
  <c r="X17" i="17"/>
  <c r="I16" i="17"/>
  <c r="X16" i="17"/>
  <c r="I15" i="17"/>
  <c r="X15" i="17"/>
  <c r="I10" i="17"/>
  <c r="X10" i="17"/>
  <c r="I13" i="16"/>
  <c r="U13" i="16"/>
  <c r="I12" i="16"/>
  <c r="X12" i="16"/>
  <c r="I11" i="16"/>
  <c r="U11" i="16"/>
  <c r="Y29" i="16"/>
  <c r="I29" i="16"/>
  <c r="X29" i="16"/>
  <c r="Y28" i="16"/>
  <c r="I28" i="16"/>
  <c r="U28" i="16"/>
  <c r="Y27" i="16"/>
  <c r="I27" i="16"/>
  <c r="X27" i="16"/>
  <c r="I33" i="15"/>
  <c r="X33" i="15"/>
  <c r="I32" i="15"/>
  <c r="U32" i="15"/>
  <c r="I31" i="15"/>
  <c r="X31" i="15"/>
  <c r="I13" i="15"/>
  <c r="X13" i="15"/>
  <c r="I12" i="15"/>
  <c r="X12" i="15"/>
  <c r="I11" i="15"/>
  <c r="X11" i="15"/>
  <c r="I28" i="15"/>
  <c r="X28" i="15"/>
  <c r="I18" i="15"/>
  <c r="U18" i="15"/>
  <c r="I17" i="15"/>
  <c r="X17" i="15"/>
  <c r="I16" i="15"/>
  <c r="U16" i="15"/>
  <c r="I15" i="15"/>
  <c r="X15" i="15"/>
  <c r="I14" i="15"/>
  <c r="U14" i="15"/>
  <c r="I17" i="14"/>
  <c r="X17" i="14"/>
  <c r="U16" i="14"/>
  <c r="I16" i="14"/>
  <c r="X16" i="14"/>
  <c r="I15" i="14"/>
  <c r="X15" i="14"/>
  <c r="I14" i="14"/>
  <c r="X14" i="14"/>
  <c r="I13" i="14"/>
  <c r="X13" i="14"/>
  <c r="I12" i="14"/>
  <c r="X12" i="14"/>
  <c r="I15" i="13"/>
  <c r="X15" i="13"/>
  <c r="I14" i="13"/>
  <c r="U14" i="13"/>
  <c r="I13" i="13"/>
  <c r="X13" i="13"/>
  <c r="I12" i="13"/>
  <c r="U12" i="13"/>
  <c r="I11" i="13"/>
  <c r="U11" i="13"/>
  <c r="B47" i="18" l="1"/>
  <c r="E33" i="11" s="1"/>
  <c r="B37" i="6"/>
  <c r="B85" i="5"/>
  <c r="U12" i="15"/>
  <c r="Y12" i="15" s="1"/>
  <c r="U14" i="14"/>
  <c r="U12" i="14"/>
  <c r="U12" i="16"/>
  <c r="Y12" i="16" s="1"/>
  <c r="U17" i="17"/>
  <c r="Y17" i="17" s="1"/>
  <c r="U18" i="17"/>
  <c r="Y18" i="17" s="1"/>
  <c r="U47" i="17"/>
  <c r="Y47" i="17" s="1"/>
  <c r="U15" i="17"/>
  <c r="Y15" i="17" s="1"/>
  <c r="U16" i="17"/>
  <c r="Y16" i="17" s="1"/>
  <c r="U46" i="17"/>
  <c r="Y46" i="17" s="1"/>
  <c r="U64" i="17"/>
  <c r="Y64" i="17" s="1"/>
  <c r="U66" i="17"/>
  <c r="Y66" i="17" s="1"/>
  <c r="U68" i="17"/>
  <c r="Y68" i="17" s="1"/>
  <c r="U11" i="17"/>
  <c r="Y11" i="17" s="1"/>
  <c r="U13" i="17"/>
  <c r="Y13" i="17" s="1"/>
  <c r="U48" i="17"/>
  <c r="Y48" i="17" s="1"/>
  <c r="U49" i="17"/>
  <c r="Y49" i="17" s="1"/>
  <c r="U50" i="17"/>
  <c r="Y50" i="17" s="1"/>
  <c r="U51" i="17"/>
  <c r="Y51" i="17" s="1"/>
  <c r="O12" i="14"/>
  <c r="O14" i="14"/>
  <c r="O16" i="14"/>
  <c r="Y16" i="14" s="1"/>
  <c r="U10" i="17"/>
  <c r="Y10" i="17" s="1"/>
  <c r="U28" i="17"/>
  <c r="Y28" i="17" s="1"/>
  <c r="U29" i="17"/>
  <c r="Y29" i="17" s="1"/>
  <c r="X12" i="17"/>
  <c r="Y12" i="17" s="1"/>
  <c r="X14" i="17"/>
  <c r="Y14" i="17" s="1"/>
  <c r="U33" i="17"/>
  <c r="Y33" i="17" s="1"/>
  <c r="U35" i="17"/>
  <c r="Y35" i="17" s="1"/>
  <c r="U71" i="17"/>
  <c r="U45" i="17"/>
  <c r="Y45" i="17" s="1"/>
  <c r="U52" i="17"/>
  <c r="Y52" i="17" s="1"/>
  <c r="U65" i="17"/>
  <c r="Y65" i="17" s="1"/>
  <c r="U67" i="17"/>
  <c r="Y67" i="17" s="1"/>
  <c r="U69" i="17"/>
  <c r="Y69" i="17" s="1"/>
  <c r="U34" i="17"/>
  <c r="Y34" i="17" s="1"/>
  <c r="U70" i="17"/>
  <c r="U72" i="17"/>
  <c r="X11" i="16"/>
  <c r="Y11" i="16" s="1"/>
  <c r="X13" i="16"/>
  <c r="Y13" i="16" s="1"/>
  <c r="X28" i="16"/>
  <c r="U27" i="16"/>
  <c r="U29" i="16"/>
  <c r="U31" i="15"/>
  <c r="Y31" i="15" s="1"/>
  <c r="U33" i="15"/>
  <c r="Y33" i="15" s="1"/>
  <c r="X32" i="15"/>
  <c r="Y32" i="15" s="1"/>
  <c r="U11" i="15"/>
  <c r="Y11" i="15" s="1"/>
  <c r="U13" i="15"/>
  <c r="Y13" i="15" s="1"/>
  <c r="U15" i="15"/>
  <c r="Y15" i="15" s="1"/>
  <c r="U17" i="15"/>
  <c r="Y17" i="15" s="1"/>
  <c r="Y28" i="15"/>
  <c r="X16" i="15"/>
  <c r="Y16" i="15" s="1"/>
  <c r="X14" i="15"/>
  <c r="Y14" i="15" s="1"/>
  <c r="X18" i="15"/>
  <c r="Y18" i="15" s="1"/>
  <c r="O13" i="14"/>
  <c r="O15" i="14"/>
  <c r="O17" i="14"/>
  <c r="U13" i="14"/>
  <c r="U15" i="14"/>
  <c r="U17" i="14"/>
  <c r="X12" i="13"/>
  <c r="Y12" i="13" s="1"/>
  <c r="X14" i="13"/>
  <c r="Y14" i="13" s="1"/>
  <c r="X11" i="13"/>
  <c r="Y11" i="13" s="1"/>
  <c r="U13" i="13"/>
  <c r="Y13" i="13" s="1"/>
  <c r="U15" i="13"/>
  <c r="Y15" i="13" s="1"/>
  <c r="O9" i="16"/>
  <c r="O4" i="16" s="1"/>
  <c r="Y93" i="17" l="1"/>
  <c r="Y15" i="14"/>
  <c r="Y13" i="14"/>
  <c r="Y17" i="14"/>
  <c r="Y14" i="14"/>
  <c r="Y44" i="14" s="1"/>
  <c r="Y12" i="14"/>
  <c r="Y31" i="13"/>
  <c r="Y30" i="13"/>
  <c r="Y29" i="13"/>
  <c r="Y33" i="14"/>
  <c r="Y32" i="14"/>
  <c r="Y31" i="14"/>
  <c r="Y86" i="17"/>
  <c r="Y85" i="17"/>
  <c r="Y84" i="17"/>
  <c r="Y32" i="16"/>
  <c r="O96" i="17" l="1"/>
  <c r="O95" i="17"/>
  <c r="O93" i="17"/>
  <c r="X92" i="17"/>
  <c r="U92" i="17"/>
  <c r="O92" i="17"/>
  <c r="I92" i="17"/>
  <c r="I86" i="17"/>
  <c r="U86" i="17"/>
  <c r="U85" i="17"/>
  <c r="I85" i="17"/>
  <c r="X85" i="17"/>
  <c r="I84" i="17"/>
  <c r="U84" i="17"/>
  <c r="Y83" i="17"/>
  <c r="X83" i="17"/>
  <c r="U83" i="17"/>
  <c r="I83" i="17"/>
  <c r="Y82" i="17"/>
  <c r="X82" i="17"/>
  <c r="U82" i="17"/>
  <c r="I82" i="17"/>
  <c r="Y81" i="17"/>
  <c r="X81" i="17"/>
  <c r="U81" i="17"/>
  <c r="I81" i="17"/>
  <c r="X32" i="17"/>
  <c r="U32" i="17"/>
  <c r="I32" i="17"/>
  <c r="Y32" i="17" s="1"/>
  <c r="X31" i="17"/>
  <c r="U31" i="17"/>
  <c r="I31" i="17"/>
  <c r="X30" i="17"/>
  <c r="U30" i="17"/>
  <c r="I30" i="17"/>
  <c r="X9" i="17"/>
  <c r="U9" i="17"/>
  <c r="O9" i="17"/>
  <c r="O4" i="17" s="1"/>
  <c r="I9" i="17"/>
  <c r="B4" i="17"/>
  <c r="C1" i="17"/>
  <c r="O43" i="16"/>
  <c r="O42" i="16"/>
  <c r="O40" i="16"/>
  <c r="X39" i="16"/>
  <c r="U39" i="16"/>
  <c r="O39" i="16"/>
  <c r="I39" i="16"/>
  <c r="I32" i="16"/>
  <c r="U32" i="16"/>
  <c r="I31" i="16"/>
  <c r="X31" i="16"/>
  <c r="I30" i="16"/>
  <c r="U30" i="16"/>
  <c r="X26" i="16"/>
  <c r="U26" i="16"/>
  <c r="I26" i="16"/>
  <c r="X17" i="16"/>
  <c r="U17" i="16"/>
  <c r="I17" i="16"/>
  <c r="X16" i="16"/>
  <c r="U16" i="16"/>
  <c r="I16" i="16"/>
  <c r="X15" i="16"/>
  <c r="U15" i="16"/>
  <c r="I15" i="16"/>
  <c r="X14" i="16"/>
  <c r="U14" i="16"/>
  <c r="I14" i="16"/>
  <c r="X10" i="16"/>
  <c r="U10" i="16"/>
  <c r="I10" i="16"/>
  <c r="X9" i="16"/>
  <c r="U9" i="16"/>
  <c r="I9" i="16"/>
  <c r="B4" i="16"/>
  <c r="C1" i="16"/>
  <c r="O53" i="15"/>
  <c r="O52" i="15"/>
  <c r="O50" i="15"/>
  <c r="X49" i="15"/>
  <c r="U49" i="15"/>
  <c r="O49" i="15"/>
  <c r="I49" i="15"/>
  <c r="U39" i="15"/>
  <c r="I39" i="15"/>
  <c r="Y39" i="15" s="1"/>
  <c r="X39" i="15"/>
  <c r="U38" i="15"/>
  <c r="I38" i="15"/>
  <c r="X38" i="15"/>
  <c r="U37" i="15"/>
  <c r="I37" i="15"/>
  <c r="Y37" i="15" s="1"/>
  <c r="X37" i="15"/>
  <c r="X36" i="15"/>
  <c r="U36" i="15"/>
  <c r="I36" i="15"/>
  <c r="X35" i="15"/>
  <c r="U35" i="15"/>
  <c r="I35" i="15"/>
  <c r="Y35" i="15" s="1"/>
  <c r="X34" i="15"/>
  <c r="U34" i="15"/>
  <c r="I34" i="15"/>
  <c r="X30" i="15"/>
  <c r="X29" i="15"/>
  <c r="U29" i="15"/>
  <c r="X10" i="15"/>
  <c r="U10" i="15"/>
  <c r="I10" i="15"/>
  <c r="X9" i="15"/>
  <c r="U9" i="15"/>
  <c r="O9" i="15"/>
  <c r="O4" i="15" s="1"/>
  <c r="I9" i="15"/>
  <c r="B4" i="15"/>
  <c r="C1" i="15"/>
  <c r="O47" i="14"/>
  <c r="O46" i="14"/>
  <c r="O44" i="14"/>
  <c r="X43" i="14"/>
  <c r="U43" i="14"/>
  <c r="O43" i="14"/>
  <c r="I43" i="14"/>
  <c r="I33" i="14"/>
  <c r="U33" i="14"/>
  <c r="O32" i="14"/>
  <c r="I32" i="14"/>
  <c r="X32" i="14"/>
  <c r="I31" i="14"/>
  <c r="U31" i="14"/>
  <c r="Y30" i="14"/>
  <c r="X30" i="14"/>
  <c r="U30" i="14"/>
  <c r="O30" i="14"/>
  <c r="I30" i="14"/>
  <c r="Y29" i="14"/>
  <c r="X29" i="14"/>
  <c r="U29" i="14"/>
  <c r="O29" i="14"/>
  <c r="I29" i="14"/>
  <c r="Y28" i="14"/>
  <c r="X28" i="14"/>
  <c r="U28" i="14"/>
  <c r="O28" i="14"/>
  <c r="I28" i="14"/>
  <c r="Y18" i="14"/>
  <c r="X18" i="14"/>
  <c r="U18" i="14"/>
  <c r="O18" i="14"/>
  <c r="I18" i="14"/>
  <c r="X11" i="14"/>
  <c r="U11" i="14"/>
  <c r="O11" i="14"/>
  <c r="I11" i="14"/>
  <c r="X10" i="14"/>
  <c r="U10" i="14"/>
  <c r="O10" i="14"/>
  <c r="I10" i="14"/>
  <c r="X9" i="14"/>
  <c r="U9" i="14"/>
  <c r="O9" i="14"/>
  <c r="I9" i="14"/>
  <c r="B4" i="14"/>
  <c r="C1" i="14"/>
  <c r="O51" i="13"/>
  <c r="O50" i="13"/>
  <c r="O48" i="13"/>
  <c r="X47" i="13"/>
  <c r="U47" i="13"/>
  <c r="O47" i="13"/>
  <c r="I47" i="13"/>
  <c r="I31" i="13"/>
  <c r="U31" i="13"/>
  <c r="I30" i="13"/>
  <c r="X30" i="13"/>
  <c r="I29" i="13"/>
  <c r="U29" i="13"/>
  <c r="Y28" i="13"/>
  <c r="X28" i="13"/>
  <c r="U28" i="13"/>
  <c r="I28" i="13"/>
  <c r="Y27" i="13"/>
  <c r="X27" i="13"/>
  <c r="U27" i="13"/>
  <c r="I27" i="13"/>
  <c r="Y26" i="13"/>
  <c r="X26" i="13"/>
  <c r="U26" i="13"/>
  <c r="I26" i="13"/>
  <c r="X17" i="13"/>
  <c r="U17" i="13"/>
  <c r="I17" i="13"/>
  <c r="Y17" i="13" s="1"/>
  <c r="X16" i="13"/>
  <c r="U16" i="13"/>
  <c r="I16" i="13"/>
  <c r="X10" i="13"/>
  <c r="U10" i="13"/>
  <c r="I10" i="13"/>
  <c r="X9" i="13"/>
  <c r="U9" i="13"/>
  <c r="O9" i="13"/>
  <c r="O4" i="13" s="1"/>
  <c r="I9" i="13"/>
  <c r="B4" i="13"/>
  <c r="C1" i="13"/>
  <c r="U4" i="17" l="1"/>
  <c r="M38" i="11" s="1"/>
  <c r="I4" i="17"/>
  <c r="K38" i="11" s="1"/>
  <c r="Y38" i="15"/>
  <c r="I4" i="15"/>
  <c r="K36" i="11" s="1"/>
  <c r="I4" i="14"/>
  <c r="Y31" i="17"/>
  <c r="I4" i="16"/>
  <c r="K37" i="11" s="1"/>
  <c r="Y36" i="15"/>
  <c r="Y34" i="15"/>
  <c r="Y30" i="15"/>
  <c r="U4" i="15"/>
  <c r="M36" i="11" s="1"/>
  <c r="X4" i="15"/>
  <c r="O36" i="11" s="1"/>
  <c r="I4" i="13"/>
  <c r="K34" i="11" s="1"/>
  <c r="K35" i="11"/>
  <c r="Y15" i="16"/>
  <c r="Y17" i="16"/>
  <c r="Y16" i="16"/>
  <c r="Y26" i="16"/>
  <c r="Y30" i="17"/>
  <c r="Y9" i="17"/>
  <c r="Y94" i="17" s="1"/>
  <c r="Y9" i="16"/>
  <c r="Y41" i="16" s="1"/>
  <c r="Y14" i="16"/>
  <c r="Y40" i="16" s="1"/>
  <c r="Y10" i="16"/>
  <c r="Y10" i="15"/>
  <c r="Y29" i="15"/>
  <c r="Y9" i="15"/>
  <c r="Y51" i="15" s="1"/>
  <c r="Y11" i="14"/>
  <c r="Y10" i="14"/>
  <c r="Y9" i="14"/>
  <c r="Y10" i="13"/>
  <c r="Y16" i="13"/>
  <c r="Y9" i="13"/>
  <c r="Y49" i="13" s="1"/>
  <c r="X84" i="17"/>
  <c r="L38" i="11"/>
  <c r="X86" i="17"/>
  <c r="X30" i="16"/>
  <c r="X32" i="16"/>
  <c r="U31" i="16"/>
  <c r="U4" i="16" s="1"/>
  <c r="X33" i="14"/>
  <c r="X31" i="14"/>
  <c r="U32" i="14"/>
  <c r="U4" i="14" s="1"/>
  <c r="O31" i="14"/>
  <c r="O33" i="14"/>
  <c r="X29" i="13"/>
  <c r="X4" i="13" s="1"/>
  <c r="X31" i="13"/>
  <c r="U30" i="13"/>
  <c r="O4" i="14" l="1"/>
  <c r="X4" i="14"/>
  <c r="Y45" i="14"/>
  <c r="B45" i="14" s="1"/>
  <c r="E35" i="11" s="1"/>
  <c r="Y50" i="15"/>
  <c r="B51" i="15" s="1"/>
  <c r="E36" i="11" s="1"/>
  <c r="Y48" i="13"/>
  <c r="B49" i="13" s="1"/>
  <c r="E34" i="11" s="1"/>
  <c r="X4" i="17"/>
  <c r="O38" i="11" s="1"/>
  <c r="X4" i="16"/>
  <c r="O37" i="11" s="1"/>
  <c r="U4" i="13"/>
  <c r="M34" i="11" s="1"/>
  <c r="L36" i="11"/>
  <c r="M35" i="11"/>
  <c r="O35" i="11"/>
  <c r="L35" i="11"/>
  <c r="L34" i="11"/>
  <c r="O34" i="11"/>
  <c r="L37" i="11"/>
  <c r="M37" i="11"/>
  <c r="B94" i="17"/>
  <c r="E38" i="11" s="1"/>
  <c r="K39" i="11"/>
  <c r="Y30" i="16"/>
  <c r="Y31" i="16"/>
  <c r="O39" i="11" l="1"/>
  <c r="L39" i="11"/>
  <c r="M39" i="11"/>
  <c r="B41" i="16"/>
  <c r="E37" i="11" s="1"/>
  <c r="D37" i="11" l="1"/>
  <c r="D38" i="11"/>
  <c r="D36" i="11"/>
  <c r="D35" i="11"/>
  <c r="D34" i="11"/>
  <c r="D33" i="11"/>
  <c r="B46" i="18" s="1"/>
  <c r="D20" i="11"/>
  <c r="D29" i="11"/>
  <c r="D28" i="11"/>
  <c r="D27" i="11"/>
  <c r="D25" i="11"/>
  <c r="D24" i="11"/>
  <c r="D22" i="11"/>
  <c r="D21" i="11"/>
  <c r="D18" i="11"/>
  <c r="D17" i="11"/>
  <c r="D15" i="11"/>
  <c r="D14" i="11"/>
  <c r="D12" i="11"/>
  <c r="D11" i="11"/>
  <c r="D10" i="11"/>
  <c r="D8" i="11"/>
  <c r="D7" i="11"/>
  <c r="D6" i="11"/>
  <c r="B1" i="11"/>
  <c r="E1" i="10"/>
  <c r="E1" i="9"/>
  <c r="E1" i="8"/>
  <c r="E1" i="7"/>
  <c r="E1" i="6"/>
  <c r="E1" i="1"/>
  <c r="D13" i="11" l="1"/>
  <c r="D16" i="11"/>
  <c r="F38" i="11"/>
  <c r="G38" i="11" s="1"/>
  <c r="B93" i="17"/>
  <c r="F37" i="11"/>
  <c r="G37" i="11" s="1"/>
  <c r="B40" i="16"/>
  <c r="F35" i="11"/>
  <c r="G35" i="11" s="1"/>
  <c r="B44" i="14"/>
  <c r="F34" i="11"/>
  <c r="G34" i="11" s="1"/>
  <c r="B48" i="13"/>
  <c r="F36" i="11"/>
  <c r="G36" i="11" s="1"/>
  <c r="B50" i="15"/>
  <c r="F33" i="11"/>
  <c r="D23" i="11"/>
  <c r="D5" i="11"/>
  <c r="D26" i="11"/>
  <c r="D19" i="11"/>
  <c r="D9" i="11"/>
  <c r="D32" i="11"/>
  <c r="G33" i="11" l="1"/>
  <c r="B48" i="18"/>
  <c r="B50" i="13"/>
  <c r="B42" i="16"/>
  <c r="B52" i="15"/>
  <c r="B46" i="14"/>
  <c r="B95" i="17"/>
  <c r="F32" i="11"/>
  <c r="E32" i="11" s="1"/>
  <c r="D30" i="11"/>
  <c r="D39" i="11" s="1"/>
  <c r="C10" i="10"/>
  <c r="C9" i="10"/>
  <c r="C8" i="10"/>
  <c r="C7" i="10"/>
  <c r="C6" i="10"/>
  <c r="C5" i="10"/>
  <c r="C4" i="10"/>
  <c r="C153" i="9"/>
  <c r="B153" i="9" s="1"/>
  <c r="B110" i="9"/>
  <c r="B109" i="9"/>
  <c r="B108" i="9"/>
  <c r="B107" i="9"/>
  <c r="B84" i="9"/>
  <c r="B83" i="9"/>
  <c r="B78" i="9"/>
  <c r="B73" i="9"/>
  <c r="B70" i="9"/>
  <c r="C10" i="9"/>
  <c r="C9" i="9"/>
  <c r="C8" i="9"/>
  <c r="C7" i="9"/>
  <c r="C6" i="9"/>
  <c r="C5" i="9"/>
  <c r="C4" i="9"/>
  <c r="C119" i="8"/>
  <c r="B119" i="8" s="1"/>
  <c r="B101" i="8"/>
  <c r="B80" i="8"/>
  <c r="B79" i="8"/>
  <c r="B78" i="8"/>
  <c r="B77" i="8"/>
  <c r="B62" i="8"/>
  <c r="B61" i="8"/>
  <c r="B44" i="8"/>
  <c r="B43" i="8"/>
  <c r="B42" i="8"/>
  <c r="B41" i="8"/>
  <c r="C10" i="8"/>
  <c r="C9" i="8"/>
  <c r="B9" i="8" s="1"/>
  <c r="C8" i="8"/>
  <c r="B8" i="8" s="1"/>
  <c r="C7" i="8"/>
  <c r="B7" i="8" s="1"/>
  <c r="C6" i="8"/>
  <c r="B6" i="8" s="1"/>
  <c r="C5" i="8"/>
  <c r="B5" i="8" s="1"/>
  <c r="C4" i="8"/>
  <c r="B4" i="8" s="1"/>
  <c r="C9" i="7"/>
  <c r="C8" i="7"/>
  <c r="C7" i="7"/>
  <c r="C6" i="7"/>
  <c r="C5" i="7"/>
  <c r="C4" i="7"/>
  <c r="C7" i="5"/>
  <c r="B7" i="5" s="1"/>
  <c r="C7" i="6"/>
  <c r="B7" i="6" s="1"/>
  <c r="B85" i="9" l="1"/>
  <c r="B111" i="9"/>
  <c r="B114" i="9"/>
  <c r="B112" i="9"/>
  <c r="B113" i="9"/>
  <c r="G32" i="11"/>
  <c r="B45" i="8"/>
  <c r="B81" i="8"/>
  <c r="B83" i="8"/>
  <c r="B63" i="8"/>
  <c r="B10" i="8"/>
  <c r="B102" i="8"/>
  <c r="B74" i="9"/>
  <c r="B79" i="9"/>
  <c r="B71" i="9"/>
  <c r="C4" i="5"/>
  <c r="B4" i="5" s="1"/>
  <c r="C5" i="5"/>
  <c r="B5" i="5" s="1"/>
  <c r="C6" i="5"/>
  <c r="B6" i="5" s="1"/>
  <c r="C135" i="6"/>
  <c r="B135" i="6" s="1"/>
  <c r="B127" i="6"/>
  <c r="B126" i="6"/>
  <c r="B116" i="6"/>
  <c r="B115" i="6"/>
  <c r="B114" i="6"/>
  <c r="B104" i="6"/>
  <c r="B103" i="6"/>
  <c r="B85" i="6"/>
  <c r="B84" i="6"/>
  <c r="B83" i="6"/>
  <c r="B82" i="6"/>
  <c r="B81" i="6"/>
  <c r="B72" i="6"/>
  <c r="B71" i="6"/>
  <c r="B70" i="6"/>
  <c r="B59" i="6"/>
  <c r="B58" i="6"/>
  <c r="B57" i="6"/>
  <c r="B47" i="6"/>
  <c r="B46" i="6"/>
  <c r="B45" i="6"/>
  <c r="B35" i="6"/>
  <c r="B34" i="6"/>
  <c r="B29" i="6"/>
  <c r="B28" i="6"/>
  <c r="B27" i="6"/>
  <c r="B21" i="6"/>
  <c r="B20" i="6"/>
  <c r="B19" i="6"/>
  <c r="C10" i="6"/>
  <c r="B10" i="6" s="1"/>
  <c r="C9" i="6"/>
  <c r="B9" i="6" s="1"/>
  <c r="C8" i="6"/>
  <c r="B8" i="6" s="1"/>
  <c r="C6" i="6"/>
  <c r="B6" i="6" s="1"/>
  <c r="C5" i="6"/>
  <c r="B5" i="6" s="1"/>
  <c r="C4" i="6"/>
  <c r="B4" i="6" s="1"/>
  <c r="C163" i="5"/>
  <c r="B163" i="5" s="1"/>
  <c r="B149" i="5"/>
  <c r="B148" i="5"/>
  <c r="B147" i="5"/>
  <c r="B121" i="5"/>
  <c r="B120" i="5"/>
  <c r="B119" i="5"/>
  <c r="B118" i="5"/>
  <c r="B106" i="5"/>
  <c r="B105" i="5"/>
  <c r="B56" i="5"/>
  <c r="B55" i="5"/>
  <c r="B43" i="5"/>
  <c r="B42" i="5"/>
  <c r="B27" i="5"/>
  <c r="B26" i="5"/>
  <c r="B25" i="5"/>
  <c r="C10" i="5"/>
  <c r="B10" i="5" s="1"/>
  <c r="C9" i="5"/>
  <c r="B9" i="5" s="1"/>
  <c r="C8" i="5"/>
  <c r="B8" i="5" s="1"/>
  <c r="F108" i="9" l="1"/>
  <c r="B86" i="9"/>
  <c r="B64" i="8"/>
  <c r="B82" i="8"/>
  <c r="B11" i="8"/>
  <c r="B46" i="8"/>
  <c r="B103" i="8"/>
  <c r="B128" i="6"/>
  <c r="B122" i="5"/>
  <c r="B127" i="5"/>
  <c r="B150" i="5"/>
  <c r="B105" i="6"/>
  <c r="B117" i="6"/>
  <c r="B86" i="6"/>
  <c r="B87" i="6"/>
  <c r="B73" i="6"/>
  <c r="B48" i="6"/>
  <c r="B60" i="6"/>
  <c r="B22" i="6"/>
  <c r="B30" i="6"/>
  <c r="B11" i="6"/>
  <c r="B107" i="5"/>
  <c r="B57" i="5"/>
  <c r="B58" i="5"/>
  <c r="B44" i="5"/>
  <c r="B28" i="5"/>
  <c r="B11" i="5"/>
  <c r="B13" i="5"/>
  <c r="B75" i="9"/>
  <c r="B67" i="9"/>
  <c r="B72" i="9"/>
  <c r="B80" i="9"/>
  <c r="B87" i="9" l="1"/>
  <c r="B89" i="9"/>
  <c r="B77" i="9"/>
  <c r="B76" i="9"/>
  <c r="B84" i="8"/>
  <c r="B12" i="8"/>
  <c r="B13" i="8"/>
  <c r="B47" i="8"/>
  <c r="B48" i="8"/>
  <c r="B104" i="8"/>
  <c r="B65" i="8"/>
  <c r="B130" i="6"/>
  <c r="B129" i="6"/>
  <c r="B151" i="5"/>
  <c r="B128" i="5"/>
  <c r="B123" i="5"/>
  <c r="B74" i="6"/>
  <c r="B88" i="6"/>
  <c r="B106" i="6"/>
  <c r="B61" i="6"/>
  <c r="B49" i="6"/>
  <c r="B31" i="6"/>
  <c r="B108" i="5"/>
  <c r="F91" i="5" s="1"/>
  <c r="B45" i="5"/>
  <c r="B59" i="5"/>
  <c r="B29" i="5"/>
  <c r="B12" i="5"/>
  <c r="B14" i="5"/>
  <c r="L124" i="9"/>
  <c r="Q124" i="9" s="1"/>
  <c r="L174" i="10"/>
  <c r="Q174" i="10" s="1"/>
  <c r="L110" i="9"/>
  <c r="Q110" i="9" s="1"/>
  <c r="L138" i="9"/>
  <c r="Q138" i="9" s="1"/>
  <c r="L130" i="10"/>
  <c r="L93" i="10"/>
  <c r="B68" i="9"/>
  <c r="L9" i="7"/>
  <c r="L35" i="6"/>
  <c r="B81" i="9"/>
  <c r="L9" i="10"/>
  <c r="L202" i="10"/>
  <c r="L93" i="5"/>
  <c r="L9" i="6"/>
  <c r="L20" i="6"/>
  <c r="B88" i="9" l="1"/>
  <c r="B90" i="9"/>
  <c r="F7" i="8"/>
  <c r="L127" i="6"/>
  <c r="Q127" i="6" s="1"/>
  <c r="F7" i="6"/>
  <c r="B85" i="8"/>
  <c r="B66" i="8"/>
  <c r="B67" i="8"/>
  <c r="B105" i="8"/>
  <c r="B106" i="8"/>
  <c r="B129" i="5"/>
  <c r="B124" i="5"/>
  <c r="B89" i="6"/>
  <c r="F4" i="6" s="1"/>
  <c r="B60" i="5"/>
  <c r="B63" i="5"/>
  <c r="B15" i="5"/>
  <c r="N109" i="9"/>
  <c r="O109" i="9"/>
  <c r="L71" i="6"/>
  <c r="Q71" i="6" s="1"/>
  <c r="R109" i="9"/>
  <c r="S109" i="9"/>
  <c r="I108" i="9"/>
  <c r="M109" i="9"/>
  <c r="R92" i="5"/>
  <c r="L42" i="5"/>
  <c r="L188" i="10"/>
  <c r="Q188" i="10" s="1"/>
  <c r="L103" i="6"/>
  <c r="Q103" i="6" s="1"/>
  <c r="L9" i="8"/>
  <c r="Q9" i="8" s="1"/>
  <c r="L143" i="10"/>
  <c r="Q143" i="10" s="1"/>
  <c r="L28" i="6"/>
  <c r="Q28" i="6" s="1"/>
  <c r="Q109" i="9"/>
  <c r="L58" i="6"/>
  <c r="Q58" i="6" s="1"/>
  <c r="Q9" i="10"/>
  <c r="Q35" i="6"/>
  <c r="Q20" i="6"/>
  <c r="Q202" i="10"/>
  <c r="Q130" i="10"/>
  <c r="L26" i="5"/>
  <c r="B69" i="9"/>
  <c r="L115" i="6"/>
  <c r="B82" i="9"/>
  <c r="B65" i="1"/>
  <c r="B64" i="1"/>
  <c r="C129" i="1"/>
  <c r="B129" i="1" s="1"/>
  <c r="B114" i="1"/>
  <c r="B113" i="1"/>
  <c r="B93" i="1"/>
  <c r="B92" i="1"/>
  <c r="B91" i="1"/>
  <c r="B90" i="1"/>
  <c r="B46" i="1"/>
  <c r="B45" i="1"/>
  <c r="B44" i="1"/>
  <c r="B43" i="1"/>
  <c r="B42" i="1"/>
  <c r="B32" i="1"/>
  <c r="B31" i="1"/>
  <c r="C9" i="1"/>
  <c r="C8" i="1"/>
  <c r="C7" i="1"/>
  <c r="C6" i="1"/>
  <c r="C5" i="1"/>
  <c r="C4" i="1"/>
  <c r="B4" i="1" s="1"/>
  <c r="C10" i="1"/>
  <c r="F4" i="9" l="1"/>
  <c r="F7" i="9"/>
  <c r="B66" i="1"/>
  <c r="B68" i="1"/>
  <c r="B69" i="1"/>
  <c r="L101" i="8"/>
  <c r="Q101" i="8" s="1"/>
  <c r="F82" i="6"/>
  <c r="B86" i="8"/>
  <c r="B87" i="8"/>
  <c r="F42" i="8" s="1"/>
  <c r="B125" i="5"/>
  <c r="B130" i="5"/>
  <c r="B61" i="5"/>
  <c r="B62" i="5"/>
  <c r="B64" i="5"/>
  <c r="B65" i="5"/>
  <c r="B49" i="1"/>
  <c r="B47" i="1"/>
  <c r="B33" i="1"/>
  <c r="M108" i="9"/>
  <c r="E25" i="11" s="1"/>
  <c r="F25" i="11" s="1"/>
  <c r="G25" i="11" s="1"/>
  <c r="L53" i="10"/>
  <c r="Q53" i="10" s="1"/>
  <c r="R92" i="10"/>
  <c r="S92" i="5"/>
  <c r="M92" i="5"/>
  <c r="O92" i="5"/>
  <c r="I91" i="5"/>
  <c r="L105" i="5"/>
  <c r="Q105" i="5" s="1"/>
  <c r="N92" i="5"/>
  <c r="L44" i="9"/>
  <c r="Q44" i="9" s="1"/>
  <c r="L46" i="6"/>
  <c r="Q46" i="6" s="1"/>
  <c r="L62" i="8"/>
  <c r="Q62" i="8" s="1"/>
  <c r="L148" i="5"/>
  <c r="Q148" i="5" s="1"/>
  <c r="L160" i="10"/>
  <c r="Q160" i="10" s="1"/>
  <c r="Q159" i="10" s="1"/>
  <c r="L44" i="7"/>
  <c r="L27" i="9"/>
  <c r="Q27" i="9" s="1"/>
  <c r="L64" i="9"/>
  <c r="Q64" i="9" s="1"/>
  <c r="L9" i="9"/>
  <c r="L109" i="10"/>
  <c r="Q109" i="10" s="1"/>
  <c r="L60" i="7"/>
  <c r="Q60" i="7" s="1"/>
  <c r="S8" i="6"/>
  <c r="R43" i="7"/>
  <c r="M8" i="6"/>
  <c r="S92" i="10"/>
  <c r="M92" i="10"/>
  <c r="O92" i="10"/>
  <c r="S43" i="7"/>
  <c r="N43" i="7"/>
  <c r="R159" i="10"/>
  <c r="N159" i="10"/>
  <c r="M43" i="7"/>
  <c r="N8" i="6"/>
  <c r="O43" i="7"/>
  <c r="S159" i="10"/>
  <c r="I158" i="10"/>
  <c r="N92" i="10"/>
  <c r="I42" i="7"/>
  <c r="Q93" i="10"/>
  <c r="I91" i="10"/>
  <c r="M159" i="10"/>
  <c r="Q42" i="5"/>
  <c r="O8" i="6"/>
  <c r="I7" i="6"/>
  <c r="O159" i="10"/>
  <c r="R8" i="6"/>
  <c r="Q115" i="6"/>
  <c r="Q9" i="7"/>
  <c r="Q9" i="6"/>
  <c r="Q26" i="5"/>
  <c r="Q93" i="5"/>
  <c r="M83" i="6"/>
  <c r="B115" i="1"/>
  <c r="B94" i="1"/>
  <c r="B67" i="1" l="1"/>
  <c r="B70" i="1"/>
  <c r="I78" i="8"/>
  <c r="F78" i="8"/>
  <c r="R79" i="8"/>
  <c r="F4" i="8"/>
  <c r="B126" i="5"/>
  <c r="B131" i="5"/>
  <c r="L80" i="8"/>
  <c r="Q80" i="8" s="1"/>
  <c r="O79" i="8"/>
  <c r="M79" i="8"/>
  <c r="N79" i="8"/>
  <c r="S79" i="8"/>
  <c r="B66" i="5"/>
  <c r="B95" i="1"/>
  <c r="B116" i="1"/>
  <c r="B48" i="1"/>
  <c r="B50" i="1"/>
  <c r="B34" i="1"/>
  <c r="B12" i="1"/>
  <c r="F18" i="4"/>
  <c r="F16" i="4"/>
  <c r="F15" i="4"/>
  <c r="M158" i="10"/>
  <c r="Q92" i="5"/>
  <c r="L9" i="5"/>
  <c r="Q9" i="5" s="1"/>
  <c r="L44" i="8"/>
  <c r="Q44" i="8" s="1"/>
  <c r="Q43" i="8" s="1"/>
  <c r="L84" i="9"/>
  <c r="Q84" i="9" s="1"/>
  <c r="L21" i="7"/>
  <c r="Q21" i="7" s="1"/>
  <c r="Q8" i="7" s="1"/>
  <c r="L84" i="6"/>
  <c r="L71" i="10"/>
  <c r="Q71" i="10" s="1"/>
  <c r="R43" i="8"/>
  <c r="Q92" i="10"/>
  <c r="M91" i="10" s="1"/>
  <c r="R8" i="9"/>
  <c r="R4" i="9" s="1"/>
  <c r="P23" i="11" s="1"/>
  <c r="N8" i="7"/>
  <c r="Q8" i="6"/>
  <c r="M7" i="6" s="1"/>
  <c r="I42" i="8"/>
  <c r="M43" i="8"/>
  <c r="N83" i="6"/>
  <c r="I4" i="9"/>
  <c r="I18" i="4" s="1"/>
  <c r="S43" i="8"/>
  <c r="E2" i="6"/>
  <c r="I4" i="7"/>
  <c r="I16" i="4" s="1"/>
  <c r="R8" i="7"/>
  <c r="R4" i="7" s="1"/>
  <c r="P16" i="11" s="1"/>
  <c r="O8" i="7"/>
  <c r="O4" i="7" s="1"/>
  <c r="M16" i="11" s="1"/>
  <c r="M8" i="7"/>
  <c r="E2" i="7"/>
  <c r="S8" i="7"/>
  <c r="S4" i="7" s="1"/>
  <c r="Q16" i="11" s="1"/>
  <c r="Q9" i="9"/>
  <c r="S8" i="9"/>
  <c r="S4" i="9" s="1"/>
  <c r="Q23" i="11" s="1"/>
  <c r="M8" i="9"/>
  <c r="N8" i="9"/>
  <c r="S83" i="6"/>
  <c r="S4" i="6" s="1"/>
  <c r="Q13" i="11" s="1"/>
  <c r="I82" i="6"/>
  <c r="O8" i="9"/>
  <c r="O4" i="9" s="1"/>
  <c r="M23" i="11" s="1"/>
  <c r="I4" i="6"/>
  <c r="I15" i="4" s="1"/>
  <c r="I7" i="9"/>
  <c r="O43" i="8"/>
  <c r="N43" i="8"/>
  <c r="E2" i="9"/>
  <c r="I7" i="7"/>
  <c r="R83" i="6"/>
  <c r="R4" i="6" s="1"/>
  <c r="P13" i="11" s="1"/>
  <c r="O83" i="6"/>
  <c r="O4" i="6" s="1"/>
  <c r="M13" i="11" s="1"/>
  <c r="Q44" i="7"/>
  <c r="D15" i="4"/>
  <c r="E15" i="4"/>
  <c r="G15" i="4"/>
  <c r="C15" i="4"/>
  <c r="G18" i="4"/>
  <c r="D18" i="4"/>
  <c r="E18" i="4"/>
  <c r="C16" i="4"/>
  <c r="D16" i="4"/>
  <c r="C18" i="4"/>
  <c r="G16" i="4"/>
  <c r="E16" i="4"/>
  <c r="F118" i="5" l="1"/>
  <c r="F4" i="5"/>
  <c r="F7" i="5"/>
  <c r="B117" i="1"/>
  <c r="B96" i="1"/>
  <c r="B51" i="1"/>
  <c r="B13" i="1"/>
  <c r="B35" i="1"/>
  <c r="M42" i="8"/>
  <c r="E21" i="11" s="1"/>
  <c r="M91" i="5"/>
  <c r="E11" i="11" s="1"/>
  <c r="F11" i="11" s="1"/>
  <c r="G11" i="11" s="1"/>
  <c r="M4" i="9"/>
  <c r="K23" i="11" s="1"/>
  <c r="M7" i="7"/>
  <c r="E3" i="7"/>
  <c r="C16" i="11" s="1"/>
  <c r="E8" i="9"/>
  <c r="H18" i="4"/>
  <c r="E109" i="9"/>
  <c r="Q8" i="9"/>
  <c r="M7" i="9" s="1"/>
  <c r="M3" i="9" s="1"/>
  <c r="E83" i="6"/>
  <c r="H15" i="4"/>
  <c r="E8" i="6"/>
  <c r="H16" i="4"/>
  <c r="E43" i="7"/>
  <c r="E8" i="7"/>
  <c r="E3" i="6"/>
  <c r="E3" i="9"/>
  <c r="E14" i="11"/>
  <c r="F14" i="11" s="1"/>
  <c r="G14" i="11" s="1"/>
  <c r="Q43" i="7"/>
  <c r="Q79" i="8"/>
  <c r="M78" i="8" s="1"/>
  <c r="M4" i="6"/>
  <c r="K13" i="11" s="1"/>
  <c r="Q84" i="6"/>
  <c r="Q4" i="7"/>
  <c r="O16" i="11" s="1"/>
  <c r="N4" i="7"/>
  <c r="L16" i="11" s="1"/>
  <c r="M4" i="7"/>
  <c r="K16" i="11" s="1"/>
  <c r="N4" i="6"/>
  <c r="L13" i="11" s="1"/>
  <c r="E29" i="11"/>
  <c r="B97" i="1" l="1"/>
  <c r="B118" i="1"/>
  <c r="B54" i="1"/>
  <c r="B14" i="1"/>
  <c r="M42" i="7"/>
  <c r="M3" i="7" s="1"/>
  <c r="E24" i="11"/>
  <c r="Q4" i="9"/>
  <c r="O23" i="11" s="1"/>
  <c r="E22" i="11"/>
  <c r="F22" i="11" s="1"/>
  <c r="G22" i="11" s="1"/>
  <c r="Q83" i="6"/>
  <c r="E17" i="11"/>
  <c r="F29" i="11"/>
  <c r="G29" i="11" s="1"/>
  <c r="F21" i="11"/>
  <c r="G21" i="11" s="1"/>
  <c r="N4" i="9"/>
  <c r="L23" i="11" s="1"/>
  <c r="E28" i="11"/>
  <c r="F43" i="1" l="1"/>
  <c r="B98" i="1"/>
  <c r="F91" i="1" s="1"/>
  <c r="B15" i="1"/>
  <c r="E18" i="11"/>
  <c r="F18" i="11" s="1"/>
  <c r="G18" i="11" s="1"/>
  <c r="Q4" i="6"/>
  <c r="O13" i="11" s="1"/>
  <c r="M82" i="6"/>
  <c r="M3" i="6" s="1"/>
  <c r="L45" i="1"/>
  <c r="Q45" i="1" s="1"/>
  <c r="E23" i="11"/>
  <c r="E16" i="11"/>
  <c r="F28" i="11"/>
  <c r="G28" i="11" s="1"/>
  <c r="F24" i="11"/>
  <c r="G24" i="11" s="1"/>
  <c r="F17" i="11"/>
  <c r="G17" i="11" s="1"/>
  <c r="B16" i="1" l="1"/>
  <c r="E15" i="11"/>
  <c r="F15" i="11" s="1"/>
  <c r="G15" i="11" s="1"/>
  <c r="L120" i="5"/>
  <c r="F16" i="11"/>
  <c r="G16" i="11" s="1"/>
  <c r="S119" i="5"/>
  <c r="R119" i="5"/>
  <c r="M119" i="5"/>
  <c r="I118" i="5"/>
  <c r="O119" i="5"/>
  <c r="N119" i="5"/>
  <c r="E13" i="11"/>
  <c r="F23" i="11"/>
  <c r="G23" i="11" s="1"/>
  <c r="C23" i="11"/>
  <c r="F13" i="11" l="1"/>
  <c r="G13" i="11" s="1"/>
  <c r="Q120" i="5"/>
  <c r="Q119" i="5" s="1"/>
  <c r="B17" i="1" l="1"/>
  <c r="M118" i="5"/>
  <c r="E12" i="11" s="1"/>
  <c r="S44" i="1"/>
  <c r="F19" i="4"/>
  <c r="B18" i="1" l="1"/>
  <c r="B19" i="1"/>
  <c r="E2" i="10"/>
  <c r="L17" i="10"/>
  <c r="I7" i="10"/>
  <c r="R8" i="10"/>
  <c r="R4" i="10" s="1"/>
  <c r="P26" i="11" s="1"/>
  <c r="I4" i="10"/>
  <c r="I19" i="4" s="1"/>
  <c r="M8" i="10"/>
  <c r="O8" i="10"/>
  <c r="O4" i="10" s="1"/>
  <c r="M26" i="11" s="1"/>
  <c r="S8" i="10"/>
  <c r="S4" i="10" s="1"/>
  <c r="Q26" i="11" s="1"/>
  <c r="N8" i="10"/>
  <c r="D19" i="4"/>
  <c r="G19" i="4"/>
  <c r="C19" i="4"/>
  <c r="E19" i="4"/>
  <c r="F7" i="1" l="1"/>
  <c r="F4" i="1"/>
  <c r="M4" i="10"/>
  <c r="K26" i="11" s="1"/>
  <c r="E3" i="10"/>
  <c r="C26" i="11" s="1"/>
  <c r="E8" i="10"/>
  <c r="Q17" i="10"/>
  <c r="Q8" i="10" s="1"/>
  <c r="M7" i="10" s="1"/>
  <c r="M3" i="10" s="1"/>
  <c r="H19" i="4"/>
  <c r="E159" i="10"/>
  <c r="E92" i="10"/>
  <c r="F12" i="11"/>
  <c r="G12" i="11" s="1"/>
  <c r="E27" i="11" l="1"/>
  <c r="Q4" i="10"/>
  <c r="O26" i="11" s="1"/>
  <c r="N4" i="10"/>
  <c r="L26" i="11" s="1"/>
  <c r="C13" i="11"/>
  <c r="E26" i="11" l="1"/>
  <c r="F14" i="4"/>
  <c r="E2" i="5"/>
  <c r="F27" i="11"/>
  <c r="G27" i="11" s="1"/>
  <c r="O8" i="5" l="1"/>
  <c r="O4" i="5" s="1"/>
  <c r="H14" i="4"/>
  <c r="G14" i="4"/>
  <c r="D14" i="4"/>
  <c r="C14" i="4"/>
  <c r="I4" i="5"/>
  <c r="I14" i="4" s="1"/>
  <c r="M8" i="5"/>
  <c r="M4" i="5" s="1"/>
  <c r="R8" i="5"/>
  <c r="R4" i="5" s="1"/>
  <c r="S8" i="5"/>
  <c r="S4" i="5" s="1"/>
  <c r="I7" i="5"/>
  <c r="N8" i="5"/>
  <c r="N4" i="5" s="1"/>
  <c r="E14" i="4"/>
  <c r="L55" i="5"/>
  <c r="Q55" i="5" s="1"/>
  <c r="F26" i="11"/>
  <c r="G26" i="11" s="1"/>
  <c r="P9" i="11" l="1"/>
  <c r="L9" i="11"/>
  <c r="Q9" i="11"/>
  <c r="M9" i="11"/>
  <c r="E92" i="5"/>
  <c r="K9" i="11"/>
  <c r="E119" i="5"/>
  <c r="E8" i="5"/>
  <c r="E3" i="5"/>
  <c r="C9" i="11" s="1"/>
  <c r="Q8" i="5"/>
  <c r="Q4" i="5" s="1"/>
  <c r="O9" i="11" l="1"/>
  <c r="M7" i="5"/>
  <c r="M3" i="5" s="1"/>
  <c r="L9" i="1"/>
  <c r="L65" i="1"/>
  <c r="L114" i="1"/>
  <c r="Q114" i="1" s="1"/>
  <c r="Q31" i="1"/>
  <c r="S8" i="1"/>
  <c r="I43" i="1"/>
  <c r="R44" i="1"/>
  <c r="N8" i="1"/>
  <c r="R8" i="1"/>
  <c r="M8" i="1"/>
  <c r="N44" i="1"/>
  <c r="O44" i="1"/>
  <c r="M44" i="1"/>
  <c r="O8" i="1"/>
  <c r="I7" i="1"/>
  <c r="E10" i="11" l="1"/>
  <c r="F10" i="11" s="1"/>
  <c r="G10" i="11" s="1"/>
  <c r="Q9" i="1"/>
  <c r="Q8" i="1" s="1"/>
  <c r="Q65" i="1"/>
  <c r="Q44" i="1" s="1"/>
  <c r="M7" i="1" l="1"/>
  <c r="M43" i="1"/>
  <c r="E7" i="11" s="1"/>
  <c r="F7" i="11" s="1"/>
  <c r="G7" i="11" s="1"/>
  <c r="E9" i="11"/>
  <c r="F9" i="11" s="1"/>
  <c r="G9" i="11" s="1"/>
  <c r="F13" i="4" l="1"/>
  <c r="O92" i="1"/>
  <c r="O4" i="1" s="1"/>
  <c r="L93" i="1" l="1"/>
  <c r="Q93" i="1" s="1"/>
  <c r="Q92" i="1" s="1"/>
  <c r="Q4" i="1" s="1"/>
  <c r="I91" i="1"/>
  <c r="M92" i="1"/>
  <c r="M4" i="1" s="1"/>
  <c r="R92" i="1"/>
  <c r="N92" i="1"/>
  <c r="N4" i="1" s="1"/>
  <c r="I4" i="1"/>
  <c r="E2" i="1"/>
  <c r="S92" i="1"/>
  <c r="M5" i="11"/>
  <c r="C13" i="4"/>
  <c r="G13" i="4"/>
  <c r="D13" i="4"/>
  <c r="E13" i="4"/>
  <c r="I13" i="4" l="1"/>
  <c r="U3" i="8"/>
  <c r="H19" i="11" s="1"/>
  <c r="R4" i="1"/>
  <c r="P5" i="11" s="1"/>
  <c r="S4" i="1"/>
  <c r="Q5" i="11" s="1"/>
  <c r="M91" i="1"/>
  <c r="M3" i="1" s="1"/>
  <c r="E8" i="1"/>
  <c r="E92" i="1"/>
  <c r="E3" i="1"/>
  <c r="C5" i="11" s="1"/>
  <c r="H13" i="4"/>
  <c r="E44" i="1"/>
  <c r="K5" i="11"/>
  <c r="E8" i="11" l="1"/>
  <c r="F8" i="11" s="1"/>
  <c r="G8" i="11" s="1"/>
  <c r="L5" i="11"/>
  <c r="L23" i="8" l="1"/>
  <c r="Q23" i="8" s="1"/>
  <c r="F17" i="4"/>
  <c r="O8" i="8"/>
  <c r="S8" i="8"/>
  <c r="S4" i="8" s="1"/>
  <c r="M8" i="8"/>
  <c r="M4" i="8" s="1"/>
  <c r="N8" i="8"/>
  <c r="N4" i="8" s="1"/>
  <c r="E2" i="8"/>
  <c r="I7" i="8"/>
  <c r="R8" i="8"/>
  <c r="R4" i="8" s="1"/>
  <c r="I4" i="8"/>
  <c r="I17" i="4" s="1"/>
  <c r="I20" i="4" s="1"/>
  <c r="G17" i="4"/>
  <c r="G20" i="4" s="1"/>
  <c r="C17" i="4"/>
  <c r="C20" i="4" s="1"/>
  <c r="E17" i="4"/>
  <c r="E20" i="4" s="1"/>
  <c r="D17" i="4"/>
  <c r="D20" i="4" s="1"/>
  <c r="P19" i="11" l="1"/>
  <c r="P30" i="11" s="1"/>
  <c r="Q19" i="11"/>
  <c r="Q30" i="11" s="1"/>
  <c r="O4" i="8"/>
  <c r="M19" i="11" s="1"/>
  <c r="M30" i="11" s="1"/>
  <c r="E3" i="8"/>
  <c r="C19" i="11" s="1"/>
  <c r="H17" i="4"/>
  <c r="H20" i="4" s="1"/>
  <c r="E79" i="8"/>
  <c r="E43" i="8"/>
  <c r="E8" i="8"/>
  <c r="Q8" i="8"/>
  <c r="Q4" i="8" s="1"/>
  <c r="L19" i="11"/>
  <c r="L30" i="11" s="1"/>
  <c r="K19" i="11"/>
  <c r="K30" i="11" s="1"/>
  <c r="O19" i="11" l="1"/>
  <c r="M7" i="8"/>
  <c r="E20" i="11" s="1"/>
  <c r="M3" i="8" l="1"/>
  <c r="E19" i="11" s="1"/>
  <c r="F20" i="11"/>
  <c r="G20" i="11" s="1"/>
  <c r="F19" i="11" l="1"/>
  <c r="G19" i="11" l="1"/>
  <c r="E6" i="11" l="1"/>
  <c r="F6" i="11" s="1"/>
  <c r="G6" i="11" s="1"/>
  <c r="E5" i="11"/>
  <c r="O5" i="11"/>
  <c r="O30" i="11" s="1"/>
  <c r="F5" i="11" l="1"/>
  <c r="G5" i="11" s="1"/>
  <c r="F30" i="11" l="1"/>
  <c r="F39" i="11" l="1"/>
  <c r="G30" i="11"/>
  <c r="E30" i="11"/>
  <c r="E39" i="11" l="1"/>
  <c r="G3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Schauff</author>
  </authors>
  <commentList>
    <comment ref="K2" authorId="0" shapeId="0" xr:uid="{CB9F82CE-21FD-43A9-A8EA-5701595AB411}">
      <text>
        <r>
          <rPr>
            <b/>
            <sz val="8"/>
            <color indexed="81"/>
            <rFont val="Arial"/>
            <family val="2"/>
          </rPr>
          <t>NÃO É NECESSÁRIO DIGITAR O TOKEN NUMÉRICO PARA RESPONDER A LISTA DE VERIFICAÇÃO NA CANDIDATURA AO PNQS.  SOMENTE Organiz., Nível e CNPJ. 
O TOKEN É NECESSÁRIO PARA O EXAMINADOR DO PNQS OU PARA USUÁRIOS QUE DESEJAREM LICENCIAR A PLANILHA PARA AUTOAVALIAÇÕES.  O TOKEN INFORMADO PERMANECE INVISÍVEL.
Uma planilha para uso de LV de candidata ou uma planilha licenciada possui garantia contra falhas e suporte remoto se mantiver a estrutura original.
Examinador</t>
        </r>
        <r>
          <rPr>
            <sz val="8"/>
            <color indexed="81"/>
            <rFont val="Arial"/>
            <family val="2"/>
          </rPr>
          <t xml:space="preserve">
O token numérico é fornecido pelo CNQA e deverá ser digitado após informar o CNPJ no campo apropriado.  
</t>
        </r>
        <r>
          <rPr>
            <b/>
            <sz val="8"/>
            <color indexed="81"/>
            <rFont val="Arial"/>
            <family val="2"/>
          </rPr>
          <t xml:space="preserve">Licenciamento </t>
        </r>
        <r>
          <rPr>
            <sz val="8"/>
            <color indexed="81"/>
            <rFont val="Arial"/>
            <family val="2"/>
          </rPr>
          <t xml:space="preserve">
O token numérico deve ser adquirido na Compumax (escrever para ajuda@compumax.com.br) e deverá ser digitado após informar o CNPJ no campo apropriado.  
A mensagem de "Não Licenciada" desaparecerá se CNPJ e token estiverem corretos. 
Um token (licença) desta planilha expira no início de cada ano,  quando o cálculo da pontuação se torna inválido. Um novo token deve ser solicitado sem custo, informando a Organização e o CNPJ.
</t>
        </r>
      </text>
    </comment>
    <comment ref="B3" authorId="0" shapeId="0" xr:uid="{9CFB72F2-1A7B-41E3-B985-303012ACE70D}">
      <text>
        <r>
          <rPr>
            <b/>
            <sz val="10"/>
            <color indexed="81"/>
            <rFont val="Arial"/>
            <family val="2"/>
          </rPr>
          <t xml:space="preserve">Avaliar a LV (lista de verificação) das abas 1 a 7 (cabeçalho em amarelo) e preencher os nomes dos indicadores nas abas de 8.1 a 8.6 (cabeçalho em amarelo).
</t>
        </r>
        <r>
          <rPr>
            <b/>
            <sz val="8"/>
            <color indexed="81"/>
            <rFont val="Arial"/>
            <family val="2"/>
          </rPr>
          <t>Não é necessário token de licenciamento.</t>
        </r>
      </text>
    </comment>
    <comment ref="E3" authorId="0" shapeId="0" xr:uid="{655DE354-9805-4527-916F-5AC43F65452C}">
      <text>
        <r>
          <rPr>
            <b/>
            <sz val="10"/>
            <color indexed="81"/>
            <rFont val="Arial"/>
            <family val="2"/>
          </rPr>
          <t>Avaliar os PGs e LVs das abas de 1 a 7 (não em vermelho) e avaliar os Indicadores das abas de 8.1 a 8.6, conforme instruções.</t>
        </r>
      </text>
    </comment>
    <comment ref="B5" authorId="0" shapeId="0" xr:uid="{11ED2375-31E5-4488-827C-0571D4B3DC55}">
      <text>
        <r>
          <rPr>
            <sz val="9"/>
            <color indexed="81"/>
            <rFont val="Arial"/>
            <family val="2"/>
          </rPr>
          <t>Informar o nome da organização avaliada</t>
        </r>
      </text>
    </comment>
    <comment ref="B7" authorId="0" shapeId="0" xr:uid="{00000000-0006-0000-0000-000001000000}">
      <text>
        <r>
          <rPr>
            <sz val="10"/>
            <color indexed="81"/>
            <rFont val="Tahoma"/>
            <family val="2"/>
          </rPr>
          <t>ATENÇAO: PARA USO</t>
        </r>
        <r>
          <rPr>
            <b/>
            <sz val="10"/>
            <color indexed="81"/>
            <rFont val="Tahoma"/>
            <family val="2"/>
          </rPr>
          <t xml:space="preserve"> COMO LISTA DE VERIFICAÇÃO NÃO É NECESSÁRIO TOKEN</t>
        </r>
        <r>
          <rPr>
            <sz val="10"/>
            <color indexed="81"/>
            <rFont val="Tahoma"/>
            <family val="2"/>
          </rPr>
          <t xml:space="preserve"> DE LICENCIAMENTO ASSOCIADO AO CNPJ.
</t>
        </r>
        <r>
          <rPr>
            <sz val="10"/>
            <color indexed="81"/>
            <rFont val="Tahoma"/>
            <family val="2"/>
          </rPr>
          <t xml:space="preserve">
</t>
        </r>
      </text>
    </comment>
    <comment ref="K8" authorId="0" shapeId="0" xr:uid="{00000000-0006-0000-0000-000002000000}">
      <text>
        <r>
          <rPr>
            <b/>
            <sz val="9"/>
            <color indexed="81"/>
            <rFont val="Arial"/>
            <family val="2"/>
          </rPr>
          <t>versão 2025</t>
        </r>
        <r>
          <rPr>
            <sz val="9"/>
            <color indexed="81"/>
            <rFont val="Arial"/>
            <family val="2"/>
          </rPr>
          <t xml:space="preserve">
v0 Beta conceitos atualizados de graus de pontuação, Bônus para IA e Inovação.
V1 Beta Redações novas em azul, novas exigência de LVs, 
V2 Perda de pts 1-7 e 8.1-8.6 indicada no Quadro Geral
V3 %Fatores Crit 5 corrigidos, "NA" contado no %progresso
v4 Evidência de LV que ultrapassar qtde de caracteres especificada na capa muda para fundo ROSA.
V5 Células de preenchimento obrigatório aparecem em fundo azul se vazias, conforme situação do PG ou LV.   
      Numeração LVs Crit6 corrigida.
     Crit2 correção lv130 é nv2; Lv96/115/124 é nv3; Crit3 correção Lv183/194 é nv3; Crit5 correção Lv312/324/325 é nv3; 
     Crit6 correção Lv403 é nv3; Crit7 correção Lv468 é nv0. Total de LVs na Capa corrigido.</t>
        </r>
      </text>
    </comment>
    <comment ref="C12" authorId="0" shapeId="0" xr:uid="{00000000-0006-0000-0000-000003000000}">
      <text>
        <r>
          <rPr>
            <sz val="9"/>
            <color indexed="81"/>
            <rFont val="Arial"/>
            <family val="2"/>
          </rPr>
          <t>Qtde de Processos gerenciais requeridos no Nível</t>
        </r>
      </text>
    </comment>
    <comment ref="D12" authorId="0" shapeId="0" xr:uid="{00000000-0006-0000-0000-000004000000}">
      <text>
        <r>
          <rPr>
            <sz val="9"/>
            <color indexed="81"/>
            <rFont val="Arial"/>
            <family val="2"/>
          </rPr>
          <t>Qtde de Processos Gerenciais avaliados</t>
        </r>
      </text>
    </comment>
    <comment ref="E12" authorId="0" shapeId="0" xr:uid="{00000000-0006-0000-0000-000005000000}">
      <text>
        <r>
          <rPr>
            <sz val="9"/>
            <color indexed="81"/>
            <rFont val="Arial"/>
            <family val="2"/>
          </rPr>
          <t>Qtde de Processos gerenciais atendidos sobre o total requerido, para o Nível.</t>
        </r>
      </text>
    </comment>
    <comment ref="F12" authorId="0" shapeId="0" xr:uid="{548FE9AC-A4FE-4475-947F-98647CDC0B80}">
      <text>
        <r>
          <rPr>
            <sz val="9"/>
            <color indexed="81"/>
            <rFont val="Arial"/>
            <family val="2"/>
          </rPr>
          <t>Qtde de Processos gerenciais atendidos sobre o total requerido, para o Nível.</t>
        </r>
      </text>
    </comment>
    <comment ref="G12" authorId="0" shapeId="0" xr:uid="{00000000-0006-0000-0000-000006000000}">
      <text>
        <r>
          <rPr>
            <sz val="9"/>
            <color indexed="81"/>
            <rFont val="Tahoma"/>
            <family val="2"/>
          </rPr>
          <t>Qtde de Exigências da Lista de Verificação, sem contar PGs.</t>
        </r>
      </text>
    </comment>
    <comment ref="H12" authorId="0" shapeId="0" xr:uid="{00000000-0006-0000-0000-000007000000}">
      <text>
        <r>
          <rPr>
            <sz val="9"/>
            <color indexed="81"/>
            <rFont val="Arial"/>
            <family val="2"/>
          </rPr>
          <t xml:space="preserve">% de Exigências respondidas da LV do Critério
.
</t>
        </r>
      </text>
    </comment>
    <comment ref="I12" authorId="0" shapeId="0" xr:uid="{00000000-0006-0000-0000-000008000000}">
      <text>
        <r>
          <rPr>
            <sz val="9"/>
            <color indexed="81"/>
            <rFont val="Arial"/>
            <family val="2"/>
          </rPr>
          <t>Percentual atendimento médio da LV do Critério.
Atendimento parcial contado como 50% do atendimento.</t>
        </r>
      </text>
    </comment>
    <comment ref="H23" authorId="0" shapeId="0" xr:uid="{12B20A62-D06B-4C3B-A133-916EEF8AEF10}">
      <text>
        <r>
          <rPr>
            <sz val="9"/>
            <color indexed="81"/>
            <rFont val="Arial"/>
            <family val="2"/>
          </rPr>
          <t>A célula da coluna 'Evidência' para linhas de exigências de LVs das abas de 1 a 7 mudam de cor se esse número for ultrapassado..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F3A5FFCA-09EC-4106-A54A-FFCD2DCBF5C5}">
      <text>
        <r>
          <rPr>
            <b/>
            <sz val="9"/>
            <color indexed="81"/>
            <rFont val="Segoe UI"/>
            <family val="2"/>
          </rPr>
          <t>Colunas com cabeçalho AMARELO  para preenchimento pela Candidata</t>
        </r>
      </text>
    </comment>
    <comment ref="I1" authorId="0" shapeId="0" xr:uid="{ED074887-04A3-4801-B7AB-442164EBCA24}">
      <text>
        <r>
          <rPr>
            <b/>
            <sz val="9"/>
            <color indexed="81"/>
            <rFont val="Segoe UI"/>
            <family val="2"/>
          </rPr>
          <t xml:space="preserve">Colunas Vermelhas reservadas para o EXAMINADOR.
</t>
        </r>
        <r>
          <rPr>
            <sz val="9"/>
            <color indexed="81"/>
            <rFont val="Segoe UI"/>
            <family val="2"/>
          </rPr>
          <t xml:space="preserve">
</t>
        </r>
      </text>
    </comment>
    <comment ref="M1" authorId="1" shapeId="0" xr:uid="{86D38A4E-3A98-40BD-9D48-4BC8C1E8346E}">
      <text>
        <r>
          <rPr>
            <sz val="9"/>
            <color indexed="81"/>
            <rFont val="Segoe UI"/>
            <family val="2"/>
          </rPr>
          <t>A ser preenchido pelo examinador ou avaliador</t>
        </r>
      </text>
    </comment>
    <comment ref="W1" authorId="0" shapeId="0" xr:uid="{00000000-0006-0000-0100-00000F000000}">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EA1472AC-B5D4-4E66-912C-434BBFC90F66}">
      <text>
        <r>
          <rPr>
            <sz val="9"/>
            <color indexed="81"/>
            <rFont val="Segoe UI"/>
            <family val="2"/>
          </rPr>
          <t>Reservado para cód das linhas de Critério, Item, PG</t>
        </r>
      </text>
    </comment>
    <comment ref="B2" authorId="0" shapeId="0" xr:uid="{00000000-0006-0000-0100-000001000000}">
      <text>
        <r>
          <rPr>
            <sz val="9"/>
            <color indexed="81"/>
            <rFont val="Arial"/>
            <family val="2"/>
          </rPr>
          <t>Reservado para indicar com "1" uma linha de LV ativa para o Nível da Capa.</t>
        </r>
      </text>
    </comment>
    <comment ref="C2" authorId="0" shapeId="0" xr:uid="{00000000-0006-0000-0100-000002000000}">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00000000-0006-0000-0100-000003000000}">
      <text>
        <r>
          <rPr>
            <sz val="9"/>
            <color indexed="81"/>
            <rFont val="Arial"/>
            <family val="2"/>
          </rPr>
          <t>Reservado para identificar onde começam exigências do nível &lt;?&gt; ou para identificar uma linha de PG ou para indicar o número da exigência na LV.</t>
        </r>
      </text>
    </comment>
    <comment ref="F2" authorId="0" shapeId="0" xr:uid="{11672F7F-D824-42E8-8966-F7D807AFD3BF}">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00000000-0006-0000-0100-000005000000}">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83255F79-25A3-401A-937E-04EFDFB52A6C}">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787B306F-A651-4976-9B60-A04088D7061A}">
      <text>
        <r>
          <rPr>
            <sz val="9"/>
            <color indexed="81"/>
            <rFont val="Arial"/>
            <family val="2"/>
          </rPr>
          <t>Esta coluna mostra a qtde de caracteres informados da célula 'Evidência' para exigências de LV.</t>
        </r>
      </text>
    </comment>
    <comment ref="K2" authorId="0" shapeId="0" xr:uid="{00000000-0006-0000-0100-000007000000}">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20D06A61-093F-450E-8D61-F62E5001CD1A}">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659BB668-99F5-4831-A149-3681D63E0F6D}">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3413EB1E-68FC-4F7E-9114-224A663AE7A1}">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27F66A57-5694-4E82-A9EE-469DEFF60168}">
      <text>
        <r>
          <rPr>
            <sz val="9"/>
            <color indexed="81"/>
            <rFont val="Segoe UI"/>
            <family val="2"/>
          </rPr>
          <t>PGs com apoio de IA?
0 Não
1 Sim</t>
        </r>
      </text>
    </comment>
    <comment ref="Q2" authorId="0" shapeId="0" xr:uid="{35F4989D-A32F-41F6-94B2-AB29568BF99C}">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7A283C5C-7CC6-4E26-A3E2-440F3F28B4C4}">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608B0AEA-A50B-4E27-BA73-D894C987F35A}">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DDE5EDC9-6671-43DE-9284-0DF25EC84B7F}">
      <text>
        <r>
          <rPr>
            <sz val="9"/>
            <color indexed="81"/>
            <rFont val="Segoe UI"/>
            <family val="2"/>
          </rPr>
          <t>PGs com característica original, inusitada ou incomum no setor?
0 Não
1 Sim</t>
        </r>
      </text>
    </comment>
    <comment ref="V2" authorId="0" shapeId="0" xr:uid="{B8A7A36C-4AED-47BE-A1D1-9EA8372E39D4}">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271E3D95-A8A7-4659-96E2-8A719030B02C}">
      <text>
        <r>
          <rPr>
            <sz val="10"/>
            <color indexed="81"/>
            <rFont val="Arial"/>
            <family val="2"/>
          </rPr>
          <t>Ponto de verificação
A confirmar ou esclarecer na visita. Descreva a(s) pergunta(s) a ser(em) feitas.</t>
        </r>
      </text>
    </comment>
    <comment ref="Z2" authorId="0" shapeId="0" xr:uid="{1A7256E8-0D79-4E03-B5A3-AECD9A061513}">
      <text>
        <r>
          <rPr>
            <sz val="9"/>
            <color indexed="81"/>
            <rFont val="Segoe UI"/>
            <family val="2"/>
          </rPr>
          <t xml:space="preserve">Buscar Nomes/Cargos no Organograma ou Redes Internas  do Perfil. </t>
        </r>
      </text>
    </comment>
    <comment ref="AA2" authorId="0" shapeId="0" xr:uid="{9C983E3F-B1E4-4415-8312-28697DD7D0B1}">
      <text>
        <r>
          <rPr>
            <sz val="9"/>
            <color indexed="81"/>
            <rFont val="Segoe UI"/>
            <family val="2"/>
          </rPr>
          <t xml:space="preserve">Buscar Nomes/Cargos no Organograma ou Redes Internas  do Perfil. </t>
        </r>
      </text>
    </comment>
    <comment ref="AB2" authorId="0" shapeId="0" xr:uid="{A9383D8C-27AA-43DF-A3E2-B1BA1CDBDF8A}">
      <text>
        <r>
          <rPr>
            <sz val="9"/>
            <color indexed="81"/>
            <rFont val="Segoe UI"/>
            <family val="2"/>
          </rPr>
          <t xml:space="preserve">Buscar Nomes/Cargos no Organograma ou Redes Internas  do Perfil. </t>
        </r>
      </text>
    </comment>
    <comment ref="E3" authorId="0" shapeId="0" xr:uid="{4F5CA196-3DEE-4C6A-8DE6-59CB8A47F331}">
      <text>
        <r>
          <rPr>
            <sz val="10"/>
            <color indexed="81"/>
            <rFont val="Tahoma"/>
            <family val="2"/>
          </rPr>
          <t>BARRA DE PROGRESSO DO CRITÉRIO
PGs e Exigências da LV respondidas.</t>
        </r>
      </text>
    </comment>
    <comment ref="M3" authorId="0" shapeId="0" xr:uid="{00000000-0006-0000-0100-000011000000}">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46241BCC-88C8-4C04-A838-13186C3550EA}">
      <text>
        <r>
          <rPr>
            <sz val="10"/>
            <color indexed="81"/>
            <rFont val="Arial"/>
            <family val="2"/>
          </rPr>
          <t>Percentual de Exigências da LV respondidas no Critério</t>
        </r>
      </text>
    </comment>
    <comment ref="I4" authorId="0" shapeId="0" xr:uid="{7181D4C5-FDA7-4E3A-ADAD-A7454E9AEE90}">
      <text>
        <r>
          <rPr>
            <sz val="10"/>
            <color indexed="81"/>
            <rFont val="Arial"/>
            <family val="2"/>
          </rPr>
          <t>Percentual atendimento médio da LV do Critério.
Atendimento parcial contado como 50% do atendimento.</t>
        </r>
      </text>
    </comment>
    <comment ref="P4" authorId="0" shapeId="0" xr:uid="{5FFE0699-6011-49C3-876A-CC712A4C37BB}">
      <text>
        <r>
          <rPr>
            <sz val="9"/>
            <color indexed="81"/>
            <rFont val="Segoe UI"/>
            <family val="2"/>
          </rPr>
          <t>Qtd de PGs apoiados por I.A. no Critério</t>
        </r>
      </text>
    </comment>
    <comment ref="T4" authorId="0" shapeId="0" xr:uid="{6E247DC4-EF03-4574-A3E5-7935E2CF0C01}">
      <text>
        <r>
          <rPr>
            <sz val="9"/>
            <color indexed="81"/>
            <rFont val="Segoe UI"/>
            <family val="2"/>
          </rPr>
          <t>Qtd de PGs com inovação</t>
        </r>
      </text>
    </comment>
    <comment ref="F7" authorId="0" shapeId="0" xr:uid="{2F91355E-9D23-4A91-98C3-8E25C4377FE2}">
      <text>
        <r>
          <rPr>
            <sz val="10"/>
            <color indexed="81"/>
            <rFont val="Arial"/>
            <family val="2"/>
          </rPr>
          <t>Percentual de exigências da LV respondidas no Item</t>
        </r>
      </text>
    </comment>
    <comment ref="I7" authorId="0" shapeId="0" xr:uid="{CC03A42D-32A9-4FAE-91F3-99C38018C6CD}">
      <text>
        <r>
          <rPr>
            <sz val="10"/>
            <color indexed="81"/>
            <rFont val="Arial"/>
            <family val="2"/>
          </rPr>
          <t>Percentual atendimento médio da LV do Item.
Atendimento parcial contado como 50% do atendimento.</t>
        </r>
      </text>
    </comment>
    <comment ref="E8" authorId="0" shapeId="0" xr:uid="{DF7987E9-2428-4B33-93F2-C03B5BD5B6FE}">
      <text>
        <r>
          <rPr>
            <sz val="10"/>
            <color indexed="81"/>
            <rFont val="Tahoma"/>
            <family val="2"/>
          </rPr>
          <t>BARRA DE PROGRESSO DO ÍTEM
PGs e Exigências da LV respondidas.</t>
        </r>
      </text>
    </comment>
    <comment ref="P8" authorId="0" shapeId="0" xr:uid="{D7DA2E82-7DE1-476B-92A0-422932BD1590}">
      <text>
        <r>
          <rPr>
            <sz val="9"/>
            <color indexed="81"/>
            <rFont val="Segoe UI"/>
            <family val="2"/>
          </rPr>
          <t>Qtd de PGs apoiados por I.A. no Item</t>
        </r>
      </text>
    </comment>
    <comment ref="T8" authorId="0" shapeId="0" xr:uid="{6E144D18-A4B3-483A-9969-5F9C020C5A5B}">
      <text>
        <r>
          <rPr>
            <sz val="9"/>
            <color indexed="81"/>
            <rFont val="Segoe UI"/>
            <family val="2"/>
          </rPr>
          <t>Qtd de PGs com inovação no Item</t>
        </r>
      </text>
    </comment>
    <comment ref="L9" authorId="0" shapeId="0" xr:uid="{344304C0-DC85-4C6B-A49E-C2DC5FCF074D}">
      <text>
        <r>
          <rPr>
            <sz val="10"/>
            <color indexed="81"/>
            <rFont val="Arial"/>
            <family val="2"/>
          </rPr>
          <t>% de atendimento médio da LV do PG</t>
        </r>
      </text>
    </comment>
    <comment ref="Q9" authorId="0" shapeId="0" xr:uid="{D1D3AC71-589C-4C34-AE53-C8E5A19DA3B0}">
      <text>
        <r>
          <rPr>
            <sz val="10"/>
            <color indexed="81"/>
            <rFont val="Arial"/>
            <family val="2"/>
          </rPr>
          <t>Grau de Abrangência considerando o limite determinado pelo % de atendimento médio da LV do PG</t>
        </r>
      </text>
    </comment>
    <comment ref="E25" authorId="0" shapeId="0" xr:uid="{648B03E4-E885-403A-9A3C-78B3D88EEF56}">
      <text>
        <r>
          <rPr>
            <sz val="9"/>
            <color indexed="81"/>
            <rFont val="Segoe UI"/>
            <family val="2"/>
          </rPr>
          <t>As exigências relativas a indicadores estão destacadas em células verdes.</t>
        </r>
      </text>
    </comment>
    <comment ref="Q31" authorId="0" shapeId="0" xr:uid="{CD67BF72-C710-4E56-A12D-C97AC581BA00}">
      <text>
        <r>
          <rPr>
            <sz val="10"/>
            <color indexed="81"/>
            <rFont val="Arial"/>
            <family val="2"/>
          </rPr>
          <t>Grau de Abrangência considerando o limite determinado pelo % de atendimento médio da LV do PG</t>
        </r>
      </text>
    </comment>
    <comment ref="F43" authorId="0" shapeId="0" xr:uid="{0850B23A-9493-46AA-9C03-4C630DC96FEF}">
      <text>
        <r>
          <rPr>
            <sz val="10"/>
            <color indexed="81"/>
            <rFont val="Arial"/>
            <family val="2"/>
          </rPr>
          <t>Percentual de exigências da LV respondidas no Item</t>
        </r>
      </text>
    </comment>
    <comment ref="I43" authorId="0" shapeId="0" xr:uid="{59DF3BEB-49DB-4EA7-BAAC-83C965CC6604}">
      <text>
        <r>
          <rPr>
            <sz val="10"/>
            <color indexed="81"/>
            <rFont val="Arial"/>
            <family val="2"/>
          </rPr>
          <t>Percentual atendimento médio da LV do Item.
Atendimento parcial contado como 50% do atendimento.</t>
        </r>
      </text>
    </comment>
    <comment ref="E44" authorId="0" shapeId="0" xr:uid="{15210146-4272-44BE-8DD6-3A568CA734DA}">
      <text>
        <r>
          <rPr>
            <sz val="10"/>
            <color indexed="81"/>
            <rFont val="Tahoma"/>
            <family val="2"/>
          </rPr>
          <t>BARRA DE PROGRESSO DO ÍTEM
PGs e Exigências da LV respondidas.</t>
        </r>
      </text>
    </comment>
    <comment ref="P44" authorId="0" shapeId="0" xr:uid="{5C8BFC65-059D-458A-B795-68970589EFD1}">
      <text>
        <r>
          <rPr>
            <sz val="9"/>
            <color indexed="81"/>
            <rFont val="Segoe UI"/>
            <family val="2"/>
          </rPr>
          <t>Qtd de PGs apoiados por I.A. no Item</t>
        </r>
      </text>
    </comment>
    <comment ref="T44" authorId="0" shapeId="0" xr:uid="{5FCC8649-482D-4F92-AD20-726412107D4D}">
      <text>
        <r>
          <rPr>
            <sz val="9"/>
            <color indexed="81"/>
            <rFont val="Segoe UI"/>
            <family val="2"/>
          </rPr>
          <t>Qtd de PGs com inovação no Item</t>
        </r>
      </text>
    </comment>
    <comment ref="L45" authorId="0" shapeId="0" xr:uid="{74E8B16A-B46E-4C7B-83FA-95E7256B6011}">
      <text>
        <r>
          <rPr>
            <sz val="10"/>
            <color indexed="81"/>
            <rFont val="Arial"/>
            <family val="2"/>
          </rPr>
          <t>% de atendimento médio da LV do PG</t>
        </r>
      </text>
    </comment>
    <comment ref="Q45" authorId="0" shapeId="0" xr:uid="{A9F919AE-7B30-4A2E-8D57-BC367508B706}">
      <text>
        <r>
          <rPr>
            <sz val="10"/>
            <color indexed="81"/>
            <rFont val="Arial"/>
            <family val="2"/>
          </rPr>
          <t>Grau de Abrangência considerando o limite determinado pelo % de atendimento médio da LV do PG</t>
        </r>
      </text>
    </comment>
    <comment ref="L65" authorId="0" shapeId="0" xr:uid="{DF11FDC1-F167-41E0-B52F-A92B2BEAD823}">
      <text>
        <r>
          <rPr>
            <sz val="10"/>
            <color indexed="81"/>
            <rFont val="Arial"/>
            <family val="2"/>
          </rPr>
          <t>% de atendimento médio da LV do PG</t>
        </r>
      </text>
    </comment>
    <comment ref="Q65" authorId="0" shapeId="0" xr:uid="{EC6C32AC-2884-43F2-A778-DE04F05681B1}">
      <text>
        <r>
          <rPr>
            <sz val="10"/>
            <color indexed="81"/>
            <rFont val="Arial"/>
            <family val="2"/>
          </rPr>
          <t>Grau de Abrangência considerando o limite determinado pelo % de atendimento médio da LV do PG</t>
        </r>
      </text>
    </comment>
    <comment ref="F91" authorId="0" shapeId="0" xr:uid="{FAD1518B-2142-4124-B9E6-4135C6B33799}">
      <text>
        <r>
          <rPr>
            <sz val="10"/>
            <color indexed="81"/>
            <rFont val="Arial"/>
            <family val="2"/>
          </rPr>
          <t>Percentual de exigências da LV respondidas no Item</t>
        </r>
      </text>
    </comment>
    <comment ref="I91" authorId="0" shapeId="0" xr:uid="{CD657225-14E8-4A32-B9DD-F79A9C2CD1D3}">
      <text>
        <r>
          <rPr>
            <sz val="10"/>
            <color indexed="81"/>
            <rFont val="Arial"/>
            <family val="2"/>
          </rPr>
          <t>Percentual atendimento médio da LV do Item.
Atendimento parcial contado como 50% do atendimento.</t>
        </r>
      </text>
    </comment>
    <comment ref="E92" authorId="0" shapeId="0" xr:uid="{7853C447-5781-4B43-9EEC-ED71CD805A3A}">
      <text>
        <r>
          <rPr>
            <sz val="10"/>
            <color indexed="81"/>
            <rFont val="Tahoma"/>
            <family val="2"/>
          </rPr>
          <t>BARRA DE PROGRESSO DO ÍTEM
PGs e Exigências da LV respondidas.</t>
        </r>
      </text>
    </comment>
    <comment ref="P92" authorId="0" shapeId="0" xr:uid="{96B6BE06-0550-4C30-9F0C-08AF8764393D}">
      <text>
        <r>
          <rPr>
            <sz val="9"/>
            <color indexed="81"/>
            <rFont val="Segoe UI"/>
            <family val="2"/>
          </rPr>
          <t>Qtd de PGs apoiados por I.A. no Item</t>
        </r>
      </text>
    </comment>
    <comment ref="T92" authorId="0" shapeId="0" xr:uid="{FB3095E2-E6A3-4A8F-A0CD-F65F913F66B7}">
      <text>
        <r>
          <rPr>
            <sz val="9"/>
            <color indexed="81"/>
            <rFont val="Segoe UI"/>
            <family val="2"/>
          </rPr>
          <t>Qtd de PGs com inovação no Item</t>
        </r>
      </text>
    </comment>
    <comment ref="L93" authorId="0" shapeId="0" xr:uid="{250BB003-E837-43B2-8177-E7E02E6F5A68}">
      <text>
        <r>
          <rPr>
            <sz val="10"/>
            <color indexed="81"/>
            <rFont val="Arial"/>
            <family val="2"/>
          </rPr>
          <t>% de atendimento médio da LV do PG</t>
        </r>
      </text>
    </comment>
    <comment ref="Q93" authorId="0" shapeId="0" xr:uid="{B6CD2DCD-34E0-4A8D-B27B-D9539DA7DCF3}">
      <text>
        <r>
          <rPr>
            <sz val="10"/>
            <color indexed="81"/>
            <rFont val="Arial"/>
            <family val="2"/>
          </rPr>
          <t>Grau de Abrangência considerando o limite determinado pelo % de atendimento médio da LV do PG</t>
        </r>
      </text>
    </comment>
    <comment ref="L114" authorId="0" shapeId="0" xr:uid="{E818B720-C577-4787-BE71-407F2AA18744}">
      <text>
        <r>
          <rPr>
            <sz val="10"/>
            <color indexed="81"/>
            <rFont val="Arial"/>
            <family val="2"/>
          </rPr>
          <t>% de atendimento médio da LV do PG</t>
        </r>
      </text>
    </comment>
    <comment ref="Q114" authorId="0" shapeId="0" xr:uid="{38374649-3897-4E77-8EF3-50F03030E7F1}">
      <text>
        <r>
          <rPr>
            <sz val="10"/>
            <color indexed="81"/>
            <rFont val="Arial"/>
            <family val="2"/>
          </rPr>
          <t>Grau de Abrangência considerando o limite determinado pelo % de atendimento médio da LV do PG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3AD60A46-FE61-4B94-9A1E-47E9569B8CF7}">
      <text>
        <r>
          <rPr>
            <b/>
            <sz val="9"/>
            <color indexed="81"/>
            <rFont val="Segoe UI"/>
            <family val="2"/>
          </rPr>
          <t>Colunas com cabeçalho AMARELO  para preenchimento pela Candidata</t>
        </r>
      </text>
    </comment>
    <comment ref="I1" authorId="0" shapeId="0" xr:uid="{12D21A05-2CD5-4CC4-8F81-28A605AB40B4}">
      <text>
        <r>
          <rPr>
            <b/>
            <sz val="9"/>
            <color indexed="81"/>
            <rFont val="Segoe UI"/>
            <family val="2"/>
          </rPr>
          <t xml:space="preserve">Colunas Vermelhas reservadas para o EXAMINADOR.
</t>
        </r>
        <r>
          <rPr>
            <sz val="9"/>
            <color indexed="81"/>
            <rFont val="Segoe UI"/>
            <family val="2"/>
          </rPr>
          <t xml:space="preserve">
</t>
        </r>
      </text>
    </comment>
    <comment ref="M1" authorId="1" shapeId="0" xr:uid="{D3689C53-5411-438E-B241-773DF407A20C}">
      <text>
        <r>
          <rPr>
            <sz val="9"/>
            <color indexed="81"/>
            <rFont val="Segoe UI"/>
            <family val="2"/>
          </rPr>
          <t>A ser preenchido pelo examinador ou avaliador</t>
        </r>
      </text>
    </comment>
    <comment ref="W1" authorId="0" shapeId="0" xr:uid="{BDE0968C-826B-47F9-B532-8CECCD965AA0}">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46BD385B-7DF6-4E26-B37D-07FDD8467E5B}">
      <text>
        <r>
          <rPr>
            <sz val="9"/>
            <color indexed="81"/>
            <rFont val="Segoe UI"/>
            <family val="2"/>
          </rPr>
          <t>Reservado para cód das linhas de Critério, Item, PG</t>
        </r>
      </text>
    </comment>
    <comment ref="B2" authorId="0" shapeId="0" xr:uid="{53BEA62A-23D3-4A76-8AA1-F4366BEB1B55}">
      <text>
        <r>
          <rPr>
            <sz val="9"/>
            <color indexed="81"/>
            <rFont val="Arial"/>
            <family val="2"/>
          </rPr>
          <t>Reservado para indicar com "1" uma linha de LV ativa para o Nível da Capa.</t>
        </r>
      </text>
    </comment>
    <comment ref="C2" authorId="0" shapeId="0" xr:uid="{019A6875-1E2A-4403-A910-3BD0E963E364}">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76FAF467-4883-4AF2-B3B0-AD8BAAA661CB}">
      <text>
        <r>
          <rPr>
            <sz val="9"/>
            <color indexed="81"/>
            <rFont val="Arial"/>
            <family val="2"/>
          </rPr>
          <t>Reservado para identificar onde começam exigências do nível &lt;?&gt; ou para identificar uma linha de PG ou para indicar o número da exigência na LV.</t>
        </r>
      </text>
    </comment>
    <comment ref="F2" authorId="0" shapeId="0" xr:uid="{3FC1C140-DCA8-4EF8-B99F-DEF80F0C9338}">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A127589D-94C5-41DD-9C21-6DDB59C58065}">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1105F5AF-F294-4772-B739-50CEEEA5617B}">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027EA060-8F68-4A07-A1E6-50CB661A5A6F}">
      <text>
        <r>
          <rPr>
            <sz val="9"/>
            <color indexed="81"/>
            <rFont val="Arial"/>
            <family val="2"/>
          </rPr>
          <t>Esta coluna mostra a qtde de caracteres informados da célula 'Evidência' para exigências de LV.</t>
        </r>
      </text>
    </comment>
    <comment ref="K2" authorId="0" shapeId="0" xr:uid="{ABE3DB81-E8B3-4C7C-8656-0E0DDE4DB68D}">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41E8DDA2-7332-43B5-97C2-262DEA04F5F0}">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B8C20727-F563-4C31-8A79-F7CD680D3ED9}">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EEB2DA23-15DB-4B02-A671-1879D8D39773}">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D4DF50AE-847B-4744-8AE5-D4A3DAA6335A}">
      <text>
        <r>
          <rPr>
            <sz val="9"/>
            <color indexed="81"/>
            <rFont val="Segoe UI"/>
            <family val="2"/>
          </rPr>
          <t>PGs com apoio de IA?
0 Não
1 Sim</t>
        </r>
      </text>
    </comment>
    <comment ref="Q2" authorId="0" shapeId="0" xr:uid="{A3B9279C-8C4E-44AC-ACF9-2510B72A5750}">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6A790B04-A640-43C2-A9DA-A2A82F7EF7D4}">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2EB9EB34-3C49-4BDE-841C-9233E7AD3077}">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6B427635-E3E9-438E-B8BD-22A003C4322F}">
      <text>
        <r>
          <rPr>
            <sz val="9"/>
            <color indexed="81"/>
            <rFont val="Segoe UI"/>
            <family val="2"/>
          </rPr>
          <t>PGs com característica original, inusitada ou incomum no setor?
0 Não
1 Sim</t>
        </r>
      </text>
    </comment>
    <comment ref="V2" authorId="0" shapeId="0" xr:uid="{F7007D55-F1AE-4187-90DA-BC7E2F0CC509}">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EC3AF54A-2045-4AA8-9870-467A302EAAD1}">
      <text>
        <r>
          <rPr>
            <sz val="10"/>
            <color indexed="81"/>
            <rFont val="Arial"/>
            <family val="2"/>
          </rPr>
          <t>Ponto de verificação
A confirmar ou esclarecer na visita. Descreva a(s) pergunta(s) a ser(em) feitas.</t>
        </r>
      </text>
    </comment>
    <comment ref="Z2" authorId="0" shapeId="0" xr:uid="{1EEBBEAF-8005-4635-B3A4-8590936D230B}">
      <text>
        <r>
          <rPr>
            <sz val="9"/>
            <color indexed="81"/>
            <rFont val="Segoe UI"/>
            <family val="2"/>
          </rPr>
          <t xml:space="preserve">Buscar Nomes/Cargos no Organograma ou Redes Internas  do Perfil. </t>
        </r>
      </text>
    </comment>
    <comment ref="AA2" authorId="0" shapeId="0" xr:uid="{D7CFF89A-DC77-4A99-B696-F8D93C795482}">
      <text>
        <r>
          <rPr>
            <sz val="9"/>
            <color indexed="81"/>
            <rFont val="Segoe UI"/>
            <family val="2"/>
          </rPr>
          <t xml:space="preserve">Buscar Nomes/Cargos no Organograma ou Redes Internas  do Perfil. </t>
        </r>
      </text>
    </comment>
    <comment ref="AB2" authorId="0" shapeId="0" xr:uid="{D27775B4-E9E6-42A0-AF76-5BF6DDC97DC0}">
      <text>
        <r>
          <rPr>
            <sz val="9"/>
            <color indexed="81"/>
            <rFont val="Segoe UI"/>
            <family val="2"/>
          </rPr>
          <t xml:space="preserve">Buscar Nomes/Cargos no Organograma ou Redes Internas  do Perfil. </t>
        </r>
      </text>
    </comment>
    <comment ref="E3" authorId="0" shapeId="0" xr:uid="{F9350F78-6BB0-44D9-97F6-9432889149C1}">
      <text>
        <r>
          <rPr>
            <sz val="10"/>
            <color indexed="81"/>
            <rFont val="Tahoma"/>
            <family val="2"/>
          </rPr>
          <t>BARRA DE PROGRESSO DO CRITÉRIO
PGs e Exigências da LV respondidas.</t>
        </r>
      </text>
    </comment>
    <comment ref="M3" authorId="0" shapeId="0" xr:uid="{1C836676-8E73-44FF-AE30-EEFDC40257FB}">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2594B447-9B86-4D1D-9CA9-764A7715E998}">
      <text>
        <r>
          <rPr>
            <sz val="10"/>
            <color indexed="81"/>
            <rFont val="Arial"/>
            <family val="2"/>
          </rPr>
          <t>Percentual de Exigências da LV respondidas no Critério</t>
        </r>
      </text>
    </comment>
    <comment ref="I4" authorId="0" shapeId="0" xr:uid="{9F23CDF3-5BEC-46CC-881E-463DB3565393}">
      <text>
        <r>
          <rPr>
            <sz val="10"/>
            <color indexed="81"/>
            <rFont val="Arial"/>
            <family val="2"/>
          </rPr>
          <t>Percentual atendimento médio da LV do Critério.
Atendimento parcial contado como 50% do atendimento.</t>
        </r>
      </text>
    </comment>
    <comment ref="P4" authorId="0" shapeId="0" xr:uid="{26B4699E-7726-4AB7-9741-C0AED228F043}">
      <text>
        <r>
          <rPr>
            <sz val="9"/>
            <color indexed="81"/>
            <rFont val="Segoe UI"/>
            <family val="2"/>
          </rPr>
          <t>Qtd de PGs apoiados por I.A. no Critério</t>
        </r>
      </text>
    </comment>
    <comment ref="T4" authorId="0" shapeId="0" xr:uid="{95EF7921-ABC5-4DDD-AAE1-F47FA5587A65}">
      <text>
        <r>
          <rPr>
            <sz val="9"/>
            <color indexed="81"/>
            <rFont val="Segoe UI"/>
            <family val="2"/>
          </rPr>
          <t>Qtd de PGs com inovação</t>
        </r>
      </text>
    </comment>
    <comment ref="F7" authorId="0" shapeId="0" xr:uid="{6DC6421D-A561-4DD5-AF4D-C18EEA044904}">
      <text>
        <r>
          <rPr>
            <sz val="10"/>
            <color indexed="81"/>
            <rFont val="Arial"/>
            <family val="2"/>
          </rPr>
          <t>Percentual de exigências da LV respondidas no Item</t>
        </r>
      </text>
    </comment>
    <comment ref="I7" authorId="0" shapeId="0" xr:uid="{03CA2455-427B-4750-BD27-FC8EE1DC99B7}">
      <text>
        <r>
          <rPr>
            <sz val="10"/>
            <color indexed="81"/>
            <rFont val="Arial"/>
            <family val="2"/>
          </rPr>
          <t>Percentual atendimento médio da LV do Item.
Atendimento parcial contado como 50% do atendimento.</t>
        </r>
      </text>
    </comment>
    <comment ref="E8" authorId="0" shapeId="0" xr:uid="{13BD635F-91D1-4268-B049-9DD351657A39}">
      <text>
        <r>
          <rPr>
            <sz val="10"/>
            <color indexed="81"/>
            <rFont val="Tahoma"/>
            <family val="2"/>
          </rPr>
          <t>BARRA DE PROGRESSO DO ÍTEM
PGs e Exigências da LV respondidas.</t>
        </r>
      </text>
    </comment>
    <comment ref="P8" authorId="0" shapeId="0" xr:uid="{B9BD2EEB-80BB-4BFB-96E0-62B40CAEA774}">
      <text>
        <r>
          <rPr>
            <sz val="9"/>
            <color indexed="81"/>
            <rFont val="Segoe UI"/>
            <family val="2"/>
          </rPr>
          <t>Qtd de PGs apoiados por I.A. no Item</t>
        </r>
      </text>
    </comment>
    <comment ref="T8" authorId="0" shapeId="0" xr:uid="{D988B4F0-0B74-40BD-A588-EB18009C9FBE}">
      <text>
        <r>
          <rPr>
            <sz val="9"/>
            <color indexed="81"/>
            <rFont val="Segoe UI"/>
            <family val="2"/>
          </rPr>
          <t>Qtd de PGs com inovação</t>
        </r>
      </text>
    </comment>
    <comment ref="L9" authorId="0" shapeId="0" xr:uid="{D539A845-E9E2-4FA9-A0BB-3AD4EFC69F55}">
      <text>
        <r>
          <rPr>
            <sz val="10"/>
            <color indexed="81"/>
            <rFont val="Arial"/>
            <family val="2"/>
          </rPr>
          <t>% de atendimento médio da LV do PG</t>
        </r>
      </text>
    </comment>
    <comment ref="Q9" authorId="0" shapeId="0" xr:uid="{23BFD11B-1027-4DBD-9672-7E5A4EDB120C}">
      <text>
        <r>
          <rPr>
            <sz val="10"/>
            <color indexed="81"/>
            <rFont val="Arial"/>
            <family val="2"/>
          </rPr>
          <t>Grau de Abrangência considerando o limite determinado pelo % de atendimento médio da LV do PG</t>
        </r>
      </text>
    </comment>
    <comment ref="L26" authorId="0" shapeId="0" xr:uid="{C593592B-C34B-4D97-A41C-76EE8441EB0A}">
      <text>
        <r>
          <rPr>
            <sz val="10"/>
            <color indexed="81"/>
            <rFont val="Arial"/>
            <family val="2"/>
          </rPr>
          <t>% de atendimento médio da LV do PG</t>
        </r>
      </text>
    </comment>
    <comment ref="Q26" authorId="0" shapeId="0" xr:uid="{D9E06D35-639C-41B8-B6AA-04155433F4B7}">
      <text>
        <r>
          <rPr>
            <sz val="10"/>
            <color indexed="81"/>
            <rFont val="Arial"/>
            <family val="2"/>
          </rPr>
          <t>Grau de Abrangência considerando o limite determinado pelo % de atendimento médio da LV do PG</t>
        </r>
      </text>
    </comment>
    <comment ref="L42" authorId="0" shapeId="0" xr:uid="{6EE044B0-73C8-41B7-AA73-7D4E05E67BA0}">
      <text>
        <r>
          <rPr>
            <sz val="10"/>
            <color indexed="81"/>
            <rFont val="Arial"/>
            <family val="2"/>
          </rPr>
          <t>% de atendimento médio da LV do PG</t>
        </r>
      </text>
    </comment>
    <comment ref="Q42" authorId="0" shapeId="0" xr:uid="{A9893A6D-2FCA-41C8-87A7-508EDDCB5086}">
      <text>
        <r>
          <rPr>
            <sz val="10"/>
            <color indexed="81"/>
            <rFont val="Arial"/>
            <family val="2"/>
          </rPr>
          <t>Grau de Abrangência considerando o limite determinado pelo % de atendimento médio da LV do PG</t>
        </r>
      </text>
    </comment>
    <comment ref="L55" authorId="0" shapeId="0" xr:uid="{07102F16-392D-4440-A8CC-3A901DAA6C2B}">
      <text>
        <r>
          <rPr>
            <sz val="10"/>
            <color indexed="81"/>
            <rFont val="Arial"/>
            <family val="2"/>
          </rPr>
          <t>% de atendimento médio da LV do PG</t>
        </r>
      </text>
    </comment>
    <comment ref="Q55" authorId="0" shapeId="0" xr:uid="{F3A46AFE-DE46-4B97-B7BD-879CD0CBCCE4}">
      <text>
        <r>
          <rPr>
            <sz val="10"/>
            <color indexed="81"/>
            <rFont val="Arial"/>
            <family val="2"/>
          </rPr>
          <t>Grau de Abrangência considerando o limite determinado pelo % de atendimento médio da LV do PG</t>
        </r>
      </text>
    </comment>
    <comment ref="F91" authorId="0" shapeId="0" xr:uid="{67C0FFD0-27BF-447C-857D-6ADF17050F63}">
      <text>
        <r>
          <rPr>
            <sz val="10"/>
            <color indexed="81"/>
            <rFont val="Arial"/>
            <family val="2"/>
          </rPr>
          <t>Percentual de exigências da LV respondidas no Item</t>
        </r>
      </text>
    </comment>
    <comment ref="I91" authorId="0" shapeId="0" xr:uid="{B51C89DE-D491-437D-A6CA-1B279E7ACB6B}">
      <text>
        <r>
          <rPr>
            <sz val="10"/>
            <color indexed="81"/>
            <rFont val="Arial"/>
            <family val="2"/>
          </rPr>
          <t>Percentual atendimento médio da LV do Item.
Atendimento parcial contado como 50% do atendimento.</t>
        </r>
      </text>
    </comment>
    <comment ref="E92" authorId="0" shapeId="0" xr:uid="{58AFD373-0979-4CA3-A075-D61EBCB75B12}">
      <text>
        <r>
          <rPr>
            <sz val="10"/>
            <color indexed="81"/>
            <rFont val="Tahoma"/>
            <family val="2"/>
          </rPr>
          <t>BARRA DE PROGRESSO DO ÍTEM
PGs e Exigências da LV respondidas.</t>
        </r>
      </text>
    </comment>
    <comment ref="P92" authorId="0" shapeId="0" xr:uid="{95C87BF6-757F-42E0-AF58-1CA1B5ED02E5}">
      <text>
        <r>
          <rPr>
            <sz val="9"/>
            <color indexed="81"/>
            <rFont val="Segoe UI"/>
            <family val="2"/>
          </rPr>
          <t>Qtd de PGs apoiados por I.A. no Item</t>
        </r>
      </text>
    </comment>
    <comment ref="T92" authorId="0" shapeId="0" xr:uid="{37DC5150-0827-4888-A3DC-FD8F14EBDF3B}">
      <text>
        <r>
          <rPr>
            <sz val="9"/>
            <color indexed="81"/>
            <rFont val="Segoe UI"/>
            <family val="2"/>
          </rPr>
          <t>Qtd de PGs com inovação</t>
        </r>
      </text>
    </comment>
    <comment ref="L93" authorId="0" shapeId="0" xr:uid="{CC859C91-A488-4709-B743-2AD2C749FF8F}">
      <text>
        <r>
          <rPr>
            <sz val="10"/>
            <color indexed="81"/>
            <rFont val="Arial"/>
            <family val="2"/>
          </rPr>
          <t>% de atendimento médio da LV do PG</t>
        </r>
      </text>
    </comment>
    <comment ref="Q93" authorId="0" shapeId="0" xr:uid="{0DF0608F-0F86-4CDA-AE79-EF82A3473511}">
      <text>
        <r>
          <rPr>
            <sz val="10"/>
            <color indexed="81"/>
            <rFont val="Arial"/>
            <family val="2"/>
          </rPr>
          <t>Grau de Abrangência considerando o limite determinado pelo % de atendimento médio da LV do PG</t>
        </r>
      </text>
    </comment>
    <comment ref="L105" authorId="0" shapeId="0" xr:uid="{F542C675-AC93-43BD-95E3-5F0D805BF0F1}">
      <text>
        <r>
          <rPr>
            <sz val="10"/>
            <color indexed="81"/>
            <rFont val="Arial"/>
            <family val="2"/>
          </rPr>
          <t>% de atendimento médio da LV do PG</t>
        </r>
      </text>
    </comment>
    <comment ref="Q105" authorId="0" shapeId="0" xr:uid="{5938C05B-11CC-41DC-97EC-F74D860A24DF}">
      <text>
        <r>
          <rPr>
            <sz val="10"/>
            <color indexed="81"/>
            <rFont val="Arial"/>
            <family val="2"/>
          </rPr>
          <t>Grau de Abrangência considerando o limite determinado pelo % de atendimento médio da LV do PG</t>
        </r>
      </text>
    </comment>
    <comment ref="F118" authorId="0" shapeId="0" xr:uid="{175E31A7-5B75-46EE-8219-DAE40F538B0A}">
      <text>
        <r>
          <rPr>
            <sz val="10"/>
            <color indexed="81"/>
            <rFont val="Arial"/>
            <family val="2"/>
          </rPr>
          <t>Percentual de exigências da LV respondidas no Item</t>
        </r>
      </text>
    </comment>
    <comment ref="I118" authorId="0" shapeId="0" xr:uid="{BDA750EB-690C-461B-9F75-687508BFD721}">
      <text>
        <r>
          <rPr>
            <sz val="10"/>
            <color indexed="81"/>
            <rFont val="Arial"/>
            <family val="2"/>
          </rPr>
          <t>Percentual atendimento médio da LV do Item.
Atendimento parcial contado como 50% do atendimento.</t>
        </r>
      </text>
    </comment>
    <comment ref="E119" authorId="0" shapeId="0" xr:uid="{BE8D24E5-7666-4367-BDC5-CBD19B0E0D5A}">
      <text>
        <r>
          <rPr>
            <sz val="10"/>
            <color indexed="81"/>
            <rFont val="Tahoma"/>
            <family val="2"/>
          </rPr>
          <t>BARRA DE PROGRESSO DO ÍTEM
PGs e Exigências da LV respondidas.</t>
        </r>
      </text>
    </comment>
    <comment ref="P119" authorId="0" shapeId="0" xr:uid="{A6392F23-AEAB-4F08-BE5C-857ACF17CEFD}">
      <text>
        <r>
          <rPr>
            <sz val="9"/>
            <color indexed="81"/>
            <rFont val="Segoe UI"/>
            <family val="2"/>
          </rPr>
          <t>Qtd de PGs apoiados por I.A. no Item</t>
        </r>
      </text>
    </comment>
    <comment ref="U119" authorId="0" shapeId="0" xr:uid="{A666F89C-D61E-4F59-B0D1-B1F56666CE2A}">
      <text>
        <r>
          <rPr>
            <sz val="9"/>
            <color indexed="81"/>
            <rFont val="Segoe UI"/>
            <family val="2"/>
          </rPr>
          <t>Qtd de PGs com inovação</t>
        </r>
      </text>
    </comment>
    <comment ref="L120" authorId="0" shapeId="0" xr:uid="{CD7E69A2-84AE-4A86-87C8-DBAE2BF6B7C0}">
      <text>
        <r>
          <rPr>
            <sz val="10"/>
            <color indexed="81"/>
            <rFont val="Arial"/>
            <family val="2"/>
          </rPr>
          <t>% de atendimento médio da LV do PG</t>
        </r>
      </text>
    </comment>
    <comment ref="Q120" authorId="0" shapeId="0" xr:uid="{1D3DF0E4-0343-4EDC-82B0-DBD9DB0EAAEB}">
      <text>
        <r>
          <rPr>
            <sz val="10"/>
            <color indexed="81"/>
            <rFont val="Arial"/>
            <family val="2"/>
          </rPr>
          <t>Grau de Abrangência considerando o limite determinado pelo % de atendimento médio da LV do PG</t>
        </r>
      </text>
    </comment>
    <comment ref="L148" authorId="0" shapeId="0" xr:uid="{5FB25023-4565-45F3-9AAF-1F251B0C9126}">
      <text>
        <r>
          <rPr>
            <sz val="10"/>
            <color indexed="81"/>
            <rFont val="Arial"/>
            <family val="2"/>
          </rPr>
          <t>% de atendimento médio da LV do PG</t>
        </r>
      </text>
    </comment>
    <comment ref="Q148" authorId="0" shapeId="0" xr:uid="{85A8A9F1-7886-4128-9C8E-92D513D60369}">
      <text>
        <r>
          <rPr>
            <sz val="10"/>
            <color indexed="81"/>
            <rFont val="Arial"/>
            <family val="2"/>
          </rPr>
          <t>Grau de Abrangência considerando o limite determinado pelo % de atendimento médio da LV do PG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AC461B15-B2A9-48FE-8F89-559103F5657C}">
      <text>
        <r>
          <rPr>
            <b/>
            <sz val="9"/>
            <color indexed="81"/>
            <rFont val="Segoe UI"/>
            <family val="2"/>
          </rPr>
          <t>Colunas com cabeçalho AMARELO  para preenchimento pela Candidata</t>
        </r>
      </text>
    </comment>
    <comment ref="I1" authorId="0" shapeId="0" xr:uid="{4E19CAA0-3A51-442D-AF7B-27CD4DA99B7E}">
      <text>
        <r>
          <rPr>
            <b/>
            <sz val="9"/>
            <color indexed="81"/>
            <rFont val="Segoe UI"/>
            <family val="2"/>
          </rPr>
          <t xml:space="preserve">Colunas Vermelhas reservadas para o EXAMINADOR.
</t>
        </r>
        <r>
          <rPr>
            <sz val="9"/>
            <color indexed="81"/>
            <rFont val="Segoe UI"/>
            <family val="2"/>
          </rPr>
          <t xml:space="preserve">
</t>
        </r>
      </text>
    </comment>
    <comment ref="M1" authorId="1" shapeId="0" xr:uid="{B3B83F6E-9341-4177-BC77-25DB0AF1C2B7}">
      <text>
        <r>
          <rPr>
            <sz val="9"/>
            <color indexed="81"/>
            <rFont val="Segoe UI"/>
            <family val="2"/>
          </rPr>
          <t>A ser preenchido pelo examinador ou avaliador</t>
        </r>
      </text>
    </comment>
    <comment ref="W1" authorId="0" shapeId="0" xr:uid="{05E35EF8-A4CC-43FC-AA04-4EEBE61F6B3F}">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3975CB56-B9A1-4A6B-B049-9B960965ECE7}">
      <text>
        <r>
          <rPr>
            <sz val="9"/>
            <color indexed="81"/>
            <rFont val="Segoe UI"/>
            <family val="2"/>
          </rPr>
          <t>Reservado para cód das linhas de Critério, Item, PG</t>
        </r>
      </text>
    </comment>
    <comment ref="B2" authorId="0" shapeId="0" xr:uid="{375DBFD8-345E-46F3-8C55-81799A819378}">
      <text>
        <r>
          <rPr>
            <sz val="9"/>
            <color indexed="81"/>
            <rFont val="Arial"/>
            <family val="2"/>
          </rPr>
          <t>Reservado para indicar com "1" uma linha de LV ativa para o Nível da Capa.</t>
        </r>
      </text>
    </comment>
    <comment ref="C2" authorId="0" shapeId="0" xr:uid="{F0B26F83-3009-49A9-B599-0E6BB4C12B41}">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061B53A2-FD19-4100-A7E3-1779B94FBBF5}">
      <text>
        <r>
          <rPr>
            <sz val="9"/>
            <color indexed="81"/>
            <rFont val="Arial"/>
            <family val="2"/>
          </rPr>
          <t>Reservado para identificar onde começam exigências do nível &lt;?&gt; ou para identificar uma linha de PG ou para indicar o número da exigência na LV.</t>
        </r>
      </text>
    </comment>
    <comment ref="F2" authorId="0" shapeId="0" xr:uid="{80087CAF-CDA9-48B5-8780-E0CFC38B63DF}">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F488A7BB-0174-4BDF-AE64-22BD0BA8C040}">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6E10B716-8939-41B0-B8F7-A57A27B7A98E}">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55CC9937-F4E5-4B59-B6E7-04D4DFC30119}">
      <text>
        <r>
          <rPr>
            <sz val="9"/>
            <color indexed="81"/>
            <rFont val="Arial"/>
            <family val="2"/>
          </rPr>
          <t>Esta coluna mostra a qtde de caracteres informados da célula 'Evidência' para exigências de LV.</t>
        </r>
      </text>
    </comment>
    <comment ref="K2" authorId="0" shapeId="0" xr:uid="{B2D38605-74C0-4814-BA6B-027E446BFA7F}">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B59F6B48-00D3-4D9E-98CC-E39FA9AC60CB}">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1575412E-34B2-4CA7-832D-5728DA0E0A5E}">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4F0A4071-039D-4321-9101-2D2D8BA8CD0F}">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F15A200B-525B-4C09-B90B-E379053B96E3}">
      <text>
        <r>
          <rPr>
            <sz val="9"/>
            <color indexed="81"/>
            <rFont val="Segoe UI"/>
            <family val="2"/>
          </rPr>
          <t>PGs com apoio de IA?
0 Não
1 Sim</t>
        </r>
      </text>
    </comment>
    <comment ref="Q2" authorId="0" shapeId="0" xr:uid="{68E9CA8A-1E98-4140-A5CD-051823F5D9CC}">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07153626-0E31-4E49-B134-D94C69AC015C}">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D1409E95-3B30-44C9-81B9-763E99AD948C}">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ECE06720-5445-4F7A-99DC-3C73B6D37EBF}">
      <text>
        <r>
          <rPr>
            <sz val="9"/>
            <color indexed="81"/>
            <rFont val="Segoe UI"/>
            <family val="2"/>
          </rPr>
          <t>PGs com característica original, inusitada ou incomum no setor?
0 Não
1 Sim</t>
        </r>
      </text>
    </comment>
    <comment ref="V2" authorId="0" shapeId="0" xr:uid="{D3595352-BDC8-44E6-9F49-79D27BF518FA}">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D1867B7E-22D6-425F-8D8A-EFDC5970C0C0}">
      <text>
        <r>
          <rPr>
            <sz val="10"/>
            <color indexed="81"/>
            <rFont val="Arial"/>
            <family val="2"/>
          </rPr>
          <t>Ponto de verificação
A confirmar ou esclarecer na visita. Descreva a(s) pergunta(s) a ser(em) feitas.</t>
        </r>
      </text>
    </comment>
    <comment ref="Z2" authorId="0" shapeId="0" xr:uid="{66488A3A-B0B0-4461-88D8-296ED964A665}">
      <text>
        <r>
          <rPr>
            <sz val="9"/>
            <color indexed="81"/>
            <rFont val="Segoe UI"/>
            <family val="2"/>
          </rPr>
          <t xml:space="preserve">Buscar Nomes/Cargos no Organograma ou Redes Internas  do Perfil. </t>
        </r>
      </text>
    </comment>
    <comment ref="AA2" authorId="0" shapeId="0" xr:uid="{773A9190-966C-4A8D-8101-943E7A8AED73}">
      <text>
        <r>
          <rPr>
            <sz val="9"/>
            <color indexed="81"/>
            <rFont val="Segoe UI"/>
            <family val="2"/>
          </rPr>
          <t xml:space="preserve">Buscar Nomes/Cargos no Organograma ou Redes Internas  do Perfil. </t>
        </r>
      </text>
    </comment>
    <comment ref="AB2" authorId="0" shapeId="0" xr:uid="{7256782E-5DEA-47E8-BA44-6EC0FD541606}">
      <text>
        <r>
          <rPr>
            <sz val="9"/>
            <color indexed="81"/>
            <rFont val="Segoe UI"/>
            <family val="2"/>
          </rPr>
          <t xml:space="preserve">Buscar Nomes/Cargos no Organograma ou Redes Internas  do Perfil. </t>
        </r>
      </text>
    </comment>
    <comment ref="E3" authorId="0" shapeId="0" xr:uid="{FC71FA80-3BD2-450E-A239-58307BA5B2A8}">
      <text>
        <r>
          <rPr>
            <sz val="10"/>
            <color indexed="81"/>
            <rFont val="Tahoma"/>
            <family val="2"/>
          </rPr>
          <t>BARRA DE PROGRESSO DO CRITÉRIO
PGs e Exigências da LV respondidas.</t>
        </r>
      </text>
    </comment>
    <comment ref="M3" authorId="0" shapeId="0" xr:uid="{00000000-0006-0000-0300-000011000000}">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0B1311A9-899F-44BE-8032-79E052430511}">
      <text>
        <r>
          <rPr>
            <sz val="10"/>
            <color indexed="81"/>
            <rFont val="Arial"/>
            <family val="2"/>
          </rPr>
          <t>Percentual de Exigências da LV respondidas no Critério</t>
        </r>
      </text>
    </comment>
    <comment ref="I4" authorId="0" shapeId="0" xr:uid="{FF323906-4FE5-4B11-8CE9-7110892C869F}">
      <text>
        <r>
          <rPr>
            <sz val="10"/>
            <color indexed="81"/>
            <rFont val="Arial"/>
            <family val="2"/>
          </rPr>
          <t>Percentual atendimento médio da LV do Critério.
Atendimento parcial contado como 50% do atendimento.</t>
        </r>
      </text>
    </comment>
    <comment ref="P4" authorId="0" shapeId="0" xr:uid="{2DA7C9EB-75E2-43C9-9C3C-D73BCF6A585D}">
      <text>
        <r>
          <rPr>
            <sz val="9"/>
            <color indexed="81"/>
            <rFont val="Segoe UI"/>
            <family val="2"/>
          </rPr>
          <t>Qtd de PGs apoiados por I.A. no Critério</t>
        </r>
      </text>
    </comment>
    <comment ref="T4" authorId="0" shapeId="0" xr:uid="{BDD9ED6E-D2C9-412A-856B-53FA5DC0C4D5}">
      <text>
        <r>
          <rPr>
            <sz val="9"/>
            <color indexed="81"/>
            <rFont val="Segoe UI"/>
            <family val="2"/>
          </rPr>
          <t>Qtd de PGs com inovação</t>
        </r>
      </text>
    </comment>
    <comment ref="F7" authorId="0" shapeId="0" xr:uid="{0B22D413-BDD1-44D6-92BE-B68E91C39855}">
      <text>
        <r>
          <rPr>
            <sz val="10"/>
            <color indexed="81"/>
            <rFont val="Arial"/>
            <family val="2"/>
          </rPr>
          <t>Percentual de exigências da LV respondidas no Item</t>
        </r>
      </text>
    </comment>
    <comment ref="I7" authorId="0" shapeId="0" xr:uid="{3D4B1DF7-1157-4E0A-B251-37DEDD797B73}">
      <text>
        <r>
          <rPr>
            <sz val="10"/>
            <color indexed="81"/>
            <rFont val="Arial"/>
            <family val="2"/>
          </rPr>
          <t>Percentual atendimento médio da LV do Item.
Atendimento parcial contado como 50% do atendimento.</t>
        </r>
      </text>
    </comment>
    <comment ref="E8" authorId="0" shapeId="0" xr:uid="{32F47828-7092-48B2-AEEC-16E787B3D70E}">
      <text>
        <r>
          <rPr>
            <sz val="10"/>
            <color indexed="81"/>
            <rFont val="Tahoma"/>
            <family val="2"/>
          </rPr>
          <t>BARRA DE PROGRESSO DO ÍTEM
PGs e Exigências da LV respondidas.</t>
        </r>
      </text>
    </comment>
    <comment ref="P8" authorId="0" shapeId="0" xr:uid="{6C414B45-D0C0-4B0D-A015-1AFC167121AC}">
      <text>
        <r>
          <rPr>
            <sz val="9"/>
            <color indexed="81"/>
            <rFont val="Segoe UI"/>
            <family val="2"/>
          </rPr>
          <t>Qtd de PGs apoiados por I.A. no Item</t>
        </r>
      </text>
    </comment>
    <comment ref="T8" authorId="0" shapeId="0" xr:uid="{0CF15351-86B8-4BC3-B5D9-32146B9C9C5D}">
      <text>
        <r>
          <rPr>
            <sz val="9"/>
            <color indexed="81"/>
            <rFont val="Segoe UI"/>
            <family val="2"/>
          </rPr>
          <t>Qtd de PGs com inovação</t>
        </r>
      </text>
    </comment>
    <comment ref="L9" authorId="0" shapeId="0" xr:uid="{4A32A8A8-EF4E-46CF-857E-BF6DAE39DB02}">
      <text>
        <r>
          <rPr>
            <sz val="10"/>
            <color indexed="81"/>
            <rFont val="Arial"/>
            <family val="2"/>
          </rPr>
          <t>% de atendimento médio da LV do PG</t>
        </r>
      </text>
    </comment>
    <comment ref="Q9" authorId="0" shapeId="0" xr:uid="{41078134-96DD-49BE-ACB1-AB3FCDE07635}">
      <text>
        <r>
          <rPr>
            <sz val="10"/>
            <color indexed="81"/>
            <rFont val="Arial"/>
            <family val="2"/>
          </rPr>
          <t>Grau de Abrangência considerando o limite determinado pelo % de atendimento médio da LV do PG</t>
        </r>
      </text>
    </comment>
    <comment ref="L20" authorId="0" shapeId="0" xr:uid="{BE210A9D-2DB6-43E5-89E8-9AC7D0C06069}">
      <text>
        <r>
          <rPr>
            <sz val="10"/>
            <color indexed="81"/>
            <rFont val="Arial"/>
            <family val="2"/>
          </rPr>
          <t>% de atendimento médio da LV do PG</t>
        </r>
      </text>
    </comment>
    <comment ref="Q20" authorId="0" shapeId="0" xr:uid="{F8BB8DC9-C78B-4581-B304-FC3213ED03EA}">
      <text>
        <r>
          <rPr>
            <sz val="10"/>
            <color indexed="81"/>
            <rFont val="Arial"/>
            <family val="2"/>
          </rPr>
          <t>Grau de Abrangência considerando o limite determinado pelo % de atendimento médio da LV do PG</t>
        </r>
      </text>
    </comment>
    <comment ref="L28" authorId="0" shapeId="0" xr:uid="{79F2C257-CDFC-4674-91B8-F7610CABF223}">
      <text>
        <r>
          <rPr>
            <sz val="10"/>
            <color indexed="81"/>
            <rFont val="Arial"/>
            <family val="2"/>
          </rPr>
          <t>% de atendimento médio da LV do PG</t>
        </r>
      </text>
    </comment>
    <comment ref="Q28" authorId="0" shapeId="0" xr:uid="{07549DD9-6641-4975-976E-21737D18AA36}">
      <text>
        <r>
          <rPr>
            <sz val="10"/>
            <color indexed="81"/>
            <rFont val="Arial"/>
            <family val="2"/>
          </rPr>
          <t>Grau de Abrangência considerando o limite determinado pelo % de atendimento médio da LV do PG</t>
        </r>
      </text>
    </comment>
    <comment ref="L35" authorId="0" shapeId="0" xr:uid="{7DC7F67B-40D7-4A00-8F80-F24BEFEC7486}">
      <text>
        <r>
          <rPr>
            <sz val="10"/>
            <color indexed="81"/>
            <rFont val="Arial"/>
            <family val="2"/>
          </rPr>
          <t>% de atendimento médio da LV do PG</t>
        </r>
      </text>
    </comment>
    <comment ref="Q35" authorId="0" shapeId="0" xr:uid="{B905626F-51ED-4D01-AE10-F0753488385B}">
      <text>
        <r>
          <rPr>
            <sz val="10"/>
            <color indexed="81"/>
            <rFont val="Arial"/>
            <family val="2"/>
          </rPr>
          <t>Grau de Abrangência considerando o limite determinado pelo % de atendimento médio da LV do PG</t>
        </r>
      </text>
    </comment>
    <comment ref="L46" authorId="0" shapeId="0" xr:uid="{B8764719-7501-4E78-8AAE-D47700DC57AE}">
      <text>
        <r>
          <rPr>
            <sz val="10"/>
            <color indexed="81"/>
            <rFont val="Arial"/>
            <family val="2"/>
          </rPr>
          <t>% de atendimento médio da LV do PG</t>
        </r>
      </text>
    </comment>
    <comment ref="Q46" authorId="0" shapeId="0" xr:uid="{A73A6DDC-5B0D-4723-8FE7-CFF7F334FA75}">
      <text>
        <r>
          <rPr>
            <sz val="10"/>
            <color indexed="81"/>
            <rFont val="Arial"/>
            <family val="2"/>
          </rPr>
          <t>Grau de Abrangência considerando o limite determinado pelo % de atendimento médio da LV do PG</t>
        </r>
      </text>
    </comment>
    <comment ref="L58" authorId="0" shapeId="0" xr:uid="{E9B304B0-72AB-4238-ADB5-CC9F31280FF6}">
      <text>
        <r>
          <rPr>
            <sz val="10"/>
            <color indexed="81"/>
            <rFont val="Arial"/>
            <family val="2"/>
          </rPr>
          <t>% de atendimento médio da LV do PG</t>
        </r>
      </text>
    </comment>
    <comment ref="Q58" authorId="0" shapeId="0" xr:uid="{7756B41C-460B-4C31-831C-4483F365FF9A}">
      <text>
        <r>
          <rPr>
            <sz val="10"/>
            <color indexed="81"/>
            <rFont val="Arial"/>
            <family val="2"/>
          </rPr>
          <t>Grau de Abrangência considerando o limite determinado pelo % de atendimento médio da LV do PG</t>
        </r>
      </text>
    </comment>
    <comment ref="L71" authorId="0" shapeId="0" xr:uid="{A7A14D8E-378A-4FC9-A80D-29C4CA288ADB}">
      <text>
        <r>
          <rPr>
            <sz val="10"/>
            <color indexed="81"/>
            <rFont val="Arial"/>
            <family val="2"/>
          </rPr>
          <t>% de atendimento médio da LV do PG</t>
        </r>
      </text>
    </comment>
    <comment ref="Q71" authorId="0" shapeId="0" xr:uid="{C71C63C9-90C7-4724-9853-6D8D55882005}">
      <text>
        <r>
          <rPr>
            <sz val="10"/>
            <color indexed="81"/>
            <rFont val="Arial"/>
            <family val="2"/>
          </rPr>
          <t>Grau de Abrangência considerando o limite determinado pelo % de atendimento médio da LV do PG</t>
        </r>
      </text>
    </comment>
    <comment ref="F82" authorId="0" shapeId="0" xr:uid="{268212CD-7647-477E-9D17-62FB374EFAC9}">
      <text>
        <r>
          <rPr>
            <sz val="10"/>
            <color indexed="81"/>
            <rFont val="Arial"/>
            <family val="2"/>
          </rPr>
          <t>Percentual de exigências da LV respondidas no Item</t>
        </r>
      </text>
    </comment>
    <comment ref="I82" authorId="0" shapeId="0" xr:uid="{98449FED-E74E-4DF1-ADA2-6500B3B36F7B}">
      <text>
        <r>
          <rPr>
            <sz val="10"/>
            <color indexed="81"/>
            <rFont val="Arial"/>
            <family val="2"/>
          </rPr>
          <t>Percentual atendimento médio da LV do Item.
Atendimento parcial contado como 50% do atendimento.</t>
        </r>
      </text>
    </comment>
    <comment ref="E83" authorId="0" shapeId="0" xr:uid="{BCBD3E06-EA4F-4AE8-9DB9-D83322ADD4EA}">
      <text>
        <r>
          <rPr>
            <sz val="10"/>
            <color indexed="81"/>
            <rFont val="Tahoma"/>
            <family val="2"/>
          </rPr>
          <t>BARRA DE PROGRESSO DO ÍTEM
PGs e Exigências da LV respondidas.</t>
        </r>
      </text>
    </comment>
    <comment ref="P83" authorId="0" shapeId="0" xr:uid="{75E5DCAF-8EAA-4F09-8062-EB4C9AC4D057}">
      <text>
        <r>
          <rPr>
            <sz val="9"/>
            <color indexed="81"/>
            <rFont val="Segoe UI"/>
            <family val="2"/>
          </rPr>
          <t>Qtd de PGs apoiados por I.A. no Item</t>
        </r>
      </text>
    </comment>
    <comment ref="T83" authorId="0" shapeId="0" xr:uid="{FA60579C-2BF9-4DD3-A2FB-2875941C7B90}">
      <text>
        <r>
          <rPr>
            <sz val="9"/>
            <color indexed="81"/>
            <rFont val="Segoe UI"/>
            <family val="2"/>
          </rPr>
          <t>Qtd de PGs com inovação</t>
        </r>
      </text>
    </comment>
    <comment ref="L84" authorId="0" shapeId="0" xr:uid="{14FAD2B7-2471-4E2F-8C07-747F9E0E0B45}">
      <text>
        <r>
          <rPr>
            <sz val="10"/>
            <color indexed="81"/>
            <rFont val="Arial"/>
            <family val="2"/>
          </rPr>
          <t>% de atendimento médio da LV do PG</t>
        </r>
      </text>
    </comment>
    <comment ref="Q84" authorId="0" shapeId="0" xr:uid="{93E20CFD-5855-4110-9CDF-B90BAA408FB7}">
      <text>
        <r>
          <rPr>
            <sz val="10"/>
            <color indexed="81"/>
            <rFont val="Arial"/>
            <family val="2"/>
          </rPr>
          <t>Grau de Abrangência considerando o limite determinado pelo % de atendimento médio da LV do PG</t>
        </r>
      </text>
    </comment>
    <comment ref="L103" authorId="0" shapeId="0" xr:uid="{47A9F1D2-5276-4A32-B7BC-76DCBCBB5320}">
      <text>
        <r>
          <rPr>
            <sz val="10"/>
            <color indexed="81"/>
            <rFont val="Arial"/>
            <family val="2"/>
          </rPr>
          <t>% de atendimento médio da LV do PG</t>
        </r>
      </text>
    </comment>
    <comment ref="Q103" authorId="0" shapeId="0" xr:uid="{71D1E19A-0B0F-4B65-903B-C037BAE3CB21}">
      <text>
        <r>
          <rPr>
            <sz val="10"/>
            <color indexed="81"/>
            <rFont val="Arial"/>
            <family val="2"/>
          </rPr>
          <t>Grau de Abrangência considerando o limite determinado pelo % de atendimento médio da LV do PG</t>
        </r>
      </text>
    </comment>
    <comment ref="L115" authorId="0" shapeId="0" xr:uid="{03296202-2344-4D22-B920-7C93A9926F5C}">
      <text>
        <r>
          <rPr>
            <sz val="10"/>
            <color indexed="81"/>
            <rFont val="Arial"/>
            <family val="2"/>
          </rPr>
          <t>% de atendimento médio da LV do PG</t>
        </r>
      </text>
    </comment>
    <comment ref="Q115" authorId="0" shapeId="0" xr:uid="{A1A276D4-BFBB-4089-A5F7-2F8B3A7D66A3}">
      <text>
        <r>
          <rPr>
            <sz val="10"/>
            <color indexed="81"/>
            <rFont val="Arial"/>
            <family val="2"/>
          </rPr>
          <t>Grau de Abrangência considerando o limite determinado pelo % de atendimento médio da LV do PG</t>
        </r>
      </text>
    </comment>
    <comment ref="L127" authorId="0" shapeId="0" xr:uid="{5D2EB78C-FF07-404D-917F-C26CCCC20698}">
      <text>
        <r>
          <rPr>
            <sz val="10"/>
            <color indexed="81"/>
            <rFont val="Arial"/>
            <family val="2"/>
          </rPr>
          <t>% de atendimento médio da LV do PG</t>
        </r>
      </text>
    </comment>
    <comment ref="Q127" authorId="0" shapeId="0" xr:uid="{66A776E2-78C6-4B12-B6E4-819EF92A40DC}">
      <text>
        <r>
          <rPr>
            <sz val="10"/>
            <color indexed="81"/>
            <rFont val="Arial"/>
            <family val="2"/>
          </rPr>
          <t>Grau de Abrangência considerando o limite determinado pelo % de atendimento médio da LV do PG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60126D0B-C52F-4219-B13C-08978C983687}">
      <text>
        <r>
          <rPr>
            <b/>
            <sz val="9"/>
            <color indexed="81"/>
            <rFont val="Segoe UI"/>
            <family val="2"/>
          </rPr>
          <t>Colunas com cabeçalho AMARELO  para preenchimento pela Candidata</t>
        </r>
      </text>
    </comment>
    <comment ref="I1" authorId="0" shapeId="0" xr:uid="{D82F8FD6-A8AE-455D-93D5-5A3294254A2A}">
      <text>
        <r>
          <rPr>
            <b/>
            <sz val="9"/>
            <color indexed="81"/>
            <rFont val="Segoe UI"/>
            <family val="2"/>
          </rPr>
          <t xml:space="preserve">Colunas Vermelhas reservadas para o EXAMINADOR.
</t>
        </r>
        <r>
          <rPr>
            <sz val="9"/>
            <color indexed="81"/>
            <rFont val="Segoe UI"/>
            <family val="2"/>
          </rPr>
          <t xml:space="preserve">
</t>
        </r>
      </text>
    </comment>
    <comment ref="M1" authorId="1" shapeId="0" xr:uid="{436C58B2-3655-4A81-A9D5-0C3B2DBCC0E9}">
      <text>
        <r>
          <rPr>
            <sz val="9"/>
            <color indexed="81"/>
            <rFont val="Segoe UI"/>
            <family val="2"/>
          </rPr>
          <t>A ser preenchido pelo examinador ou avaliador</t>
        </r>
      </text>
    </comment>
    <comment ref="W1" authorId="0" shapeId="0" xr:uid="{BA358E51-530A-4FC8-8E65-2A62F976D995}">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E59365D1-2FAA-472D-80FA-8311BB4B11D5}">
      <text>
        <r>
          <rPr>
            <sz val="9"/>
            <color indexed="81"/>
            <rFont val="Segoe UI"/>
            <family val="2"/>
          </rPr>
          <t>Reservado para cód das linhas de Critério, Item, PG</t>
        </r>
      </text>
    </comment>
    <comment ref="B2" authorId="0" shapeId="0" xr:uid="{33978C22-F9D5-4FCF-9016-21BAD6817B64}">
      <text>
        <r>
          <rPr>
            <sz val="9"/>
            <color indexed="81"/>
            <rFont val="Arial"/>
            <family val="2"/>
          </rPr>
          <t>Reservado para indicar com "1" uma linha de LV ativa para o Nível da Capa.</t>
        </r>
      </text>
    </comment>
    <comment ref="C2" authorId="0" shapeId="0" xr:uid="{C8AC36AE-8B52-47D1-9AD6-22C28763320C}">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8E67A1DF-1A85-446F-BECE-5626B30FD25F}">
      <text>
        <r>
          <rPr>
            <sz val="9"/>
            <color indexed="81"/>
            <rFont val="Arial"/>
            <family val="2"/>
          </rPr>
          <t>Reservado para identificar onde começam exigências do nível &lt;?&gt; ou para identificar uma linha de PG ou para indicar o número da exigência na LV.</t>
        </r>
      </text>
    </comment>
    <comment ref="F2" authorId="0" shapeId="0" xr:uid="{D78A2C73-1F00-4841-99F9-D9312F8A5439}">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94F4CB78-A315-40E6-AFA2-1F13F7D45379}">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0D57FAF8-A381-4A67-925D-8A7380636A70}">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B8AE4ED0-99D1-44C7-96FF-CA0C0E030854}">
      <text>
        <r>
          <rPr>
            <sz val="9"/>
            <color indexed="81"/>
            <rFont val="Arial"/>
            <family val="2"/>
          </rPr>
          <t>Esta coluna mostra a qtde de caracteres informados da célula 'Evidência' para exigências de LV.</t>
        </r>
      </text>
    </comment>
    <comment ref="K2" authorId="0" shapeId="0" xr:uid="{32018A44-D154-4845-838E-234BE054DDB7}">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E9DBED43-9E87-406D-B1E3-67451ED9718B}">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2CEE3B8F-7A70-438D-8B73-7A2AF7B379B8}">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CCF5791A-C99D-44C9-8A49-1C62D54CC09B}">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ED560130-70BF-4F4F-8B0A-E66FB06733DF}">
      <text>
        <r>
          <rPr>
            <sz val="9"/>
            <color indexed="81"/>
            <rFont val="Segoe UI"/>
            <family val="2"/>
          </rPr>
          <t>PGs com apoio de IA?
0 Não
1 Sim</t>
        </r>
      </text>
    </comment>
    <comment ref="Q2" authorId="0" shapeId="0" xr:uid="{28A7CDE8-70E9-4EA8-A05F-FAAC184A0435}">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C21AE2EE-ACF5-454E-ACEC-E53D112C6BB4}">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50AA3E13-AD97-479F-9637-E18887A69BB3}">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7AD89DAC-EA57-4656-944B-AF51800246C9}">
      <text>
        <r>
          <rPr>
            <sz val="9"/>
            <color indexed="81"/>
            <rFont val="Segoe UI"/>
            <family val="2"/>
          </rPr>
          <t>PGs com característica original, inusitada ou incomum no setor?
0 Não
1 Sim</t>
        </r>
      </text>
    </comment>
    <comment ref="V2" authorId="0" shapeId="0" xr:uid="{08799402-44BB-4898-B0B0-25110C455EA7}">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BF357CD6-6D8C-463F-820C-B0A5FB1B0888}">
      <text>
        <r>
          <rPr>
            <sz val="10"/>
            <color indexed="81"/>
            <rFont val="Arial"/>
            <family val="2"/>
          </rPr>
          <t>Ponto de verificação
A confirmar ou esclarecer na visita. Descreva a(s) pergunta(s) a ser(em) feitas.</t>
        </r>
      </text>
    </comment>
    <comment ref="Z2" authorId="0" shapeId="0" xr:uid="{1B2FE538-342E-4110-BBE7-17E9977F8F38}">
      <text>
        <r>
          <rPr>
            <sz val="9"/>
            <color indexed="81"/>
            <rFont val="Segoe UI"/>
            <family val="2"/>
          </rPr>
          <t xml:space="preserve">Buscar Nomes/Cargos no Organograma ou Redes Internas  do Perfil. </t>
        </r>
      </text>
    </comment>
    <comment ref="AA2" authorId="0" shapeId="0" xr:uid="{80CED6B5-B034-42EC-9605-3C562393B765}">
      <text>
        <r>
          <rPr>
            <sz val="9"/>
            <color indexed="81"/>
            <rFont val="Segoe UI"/>
            <family val="2"/>
          </rPr>
          <t xml:space="preserve">Buscar Nomes/Cargos no Organograma ou Redes Internas  do Perfil. </t>
        </r>
      </text>
    </comment>
    <comment ref="AB2" authorId="0" shapeId="0" xr:uid="{411A2B1B-3B47-4079-8717-32B6D8FBB450}">
      <text>
        <r>
          <rPr>
            <sz val="9"/>
            <color indexed="81"/>
            <rFont val="Segoe UI"/>
            <family val="2"/>
          </rPr>
          <t xml:space="preserve">Buscar Nomes/Cargos no Organograma ou Redes Internas  do Perfil. </t>
        </r>
      </text>
    </comment>
    <comment ref="E3" authorId="0" shapeId="0" xr:uid="{AD6DD3F7-48EC-42D8-B18B-9E58419FD4CA}">
      <text>
        <r>
          <rPr>
            <sz val="10"/>
            <color indexed="81"/>
            <rFont val="Tahoma"/>
            <family val="2"/>
          </rPr>
          <t>BARRA DE PROGRESSO DO CRITÉRIO
PGs e Exigências da LV respondidas.</t>
        </r>
      </text>
    </comment>
    <comment ref="M3" authorId="0" shapeId="0" xr:uid="{00000000-0006-0000-0400-000011000000}">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484F0325-9672-4516-A15B-AAEF85F3767C}">
      <text>
        <r>
          <rPr>
            <sz val="10"/>
            <color indexed="81"/>
            <rFont val="Arial"/>
            <family val="2"/>
          </rPr>
          <t>Percentual de Exigências da LV respondidas no Critério</t>
        </r>
      </text>
    </comment>
    <comment ref="I4" authorId="0" shapeId="0" xr:uid="{F060D912-CB9C-457D-AE36-94DC35658430}">
      <text>
        <r>
          <rPr>
            <sz val="10"/>
            <color indexed="81"/>
            <rFont val="Arial"/>
            <family val="2"/>
          </rPr>
          <t>Percentual atendimento médio da LV do Critério.
Atendimento parcial contado como 50% do atendimento.</t>
        </r>
      </text>
    </comment>
    <comment ref="P4" authorId="0" shapeId="0" xr:uid="{367B2572-2E57-4EC1-A21D-6CF6DB7ABA11}">
      <text>
        <r>
          <rPr>
            <sz val="9"/>
            <color indexed="81"/>
            <rFont val="Segoe UI"/>
            <family val="2"/>
          </rPr>
          <t>Qtd de PGs apoiados por I.A. no Critério</t>
        </r>
      </text>
    </comment>
    <comment ref="T4" authorId="0" shapeId="0" xr:uid="{3C176CD3-B44D-4725-B620-C939A47F3445}">
      <text>
        <r>
          <rPr>
            <sz val="9"/>
            <color indexed="81"/>
            <rFont val="Segoe UI"/>
            <family val="2"/>
          </rPr>
          <t>Qtd de PGs com inovação</t>
        </r>
      </text>
    </comment>
    <comment ref="F7" authorId="0" shapeId="0" xr:uid="{395853D3-6A71-45ED-A5FD-E485FE2ACF13}">
      <text>
        <r>
          <rPr>
            <sz val="10"/>
            <color indexed="81"/>
            <rFont val="Arial"/>
            <family val="2"/>
          </rPr>
          <t>Percentual de exigências da LV respondidas no Item</t>
        </r>
      </text>
    </comment>
    <comment ref="I7" authorId="0" shapeId="0" xr:uid="{2744570F-3966-4B74-A009-610CC9EDF04A}">
      <text>
        <r>
          <rPr>
            <sz val="10"/>
            <color indexed="81"/>
            <rFont val="Arial"/>
            <family val="2"/>
          </rPr>
          <t>Percentual atendimento médio da LV do Item.
Atendimento parcial contado como 50% do atendimento.</t>
        </r>
      </text>
    </comment>
    <comment ref="E8" authorId="0" shapeId="0" xr:uid="{34B14325-C2F8-4B98-9216-EE4C20DF8327}">
      <text>
        <r>
          <rPr>
            <sz val="10"/>
            <color indexed="81"/>
            <rFont val="Tahoma"/>
            <family val="2"/>
          </rPr>
          <t>BARRA DE PROGRESSO DO ÍTEM
PGs e Exigências da LV respondidas.</t>
        </r>
      </text>
    </comment>
    <comment ref="P8" authorId="0" shapeId="0" xr:uid="{92C9CE60-5EFC-411C-B1C3-103F0420E0B6}">
      <text>
        <r>
          <rPr>
            <sz val="9"/>
            <color indexed="81"/>
            <rFont val="Segoe UI"/>
            <family val="2"/>
          </rPr>
          <t>Qtd de PGs apoiados por I.A. no Item</t>
        </r>
      </text>
    </comment>
    <comment ref="T8" authorId="0" shapeId="0" xr:uid="{5D0662F2-FFA8-4ECC-89D6-92155E82FA17}">
      <text>
        <r>
          <rPr>
            <sz val="9"/>
            <color indexed="81"/>
            <rFont val="Segoe UI"/>
            <family val="2"/>
          </rPr>
          <t>Qtd de PGs com inovação</t>
        </r>
      </text>
    </comment>
    <comment ref="L9" authorId="0" shapeId="0" xr:uid="{FE820F9F-BE68-4989-A172-7199F589ADA2}">
      <text>
        <r>
          <rPr>
            <sz val="10"/>
            <color indexed="81"/>
            <rFont val="Arial"/>
            <family val="2"/>
          </rPr>
          <t>% de atendimento médio da LV do PG</t>
        </r>
      </text>
    </comment>
    <comment ref="Q9" authorId="0" shapeId="0" xr:uid="{16047986-856D-45EB-86FB-60D8F9A32DA7}">
      <text>
        <r>
          <rPr>
            <sz val="10"/>
            <color indexed="81"/>
            <rFont val="Arial"/>
            <family val="2"/>
          </rPr>
          <t>Grau de Abrangência considerando o limite determinado pelo % de atendimento médio da LV do PG</t>
        </r>
      </text>
    </comment>
    <comment ref="L21" authorId="0" shapeId="0" xr:uid="{FCA513DF-6E04-4476-8FCF-E9C4A26023C5}">
      <text>
        <r>
          <rPr>
            <sz val="10"/>
            <color indexed="81"/>
            <rFont val="Arial"/>
            <family val="2"/>
          </rPr>
          <t>% de atendimento médio da LV do PG</t>
        </r>
      </text>
    </comment>
    <comment ref="Q21" authorId="0" shapeId="0" xr:uid="{71264658-5BED-4F3C-83C9-9C874E906206}">
      <text>
        <r>
          <rPr>
            <sz val="10"/>
            <color indexed="81"/>
            <rFont val="Arial"/>
            <family val="2"/>
          </rPr>
          <t>Grau de Abrangência considerando o limite determinado pelo % de atendimento médio da LV do PG</t>
        </r>
      </text>
    </comment>
    <comment ref="F42" authorId="0" shapeId="0" xr:uid="{3A67E487-875D-4A1D-B23C-4921DD757942}">
      <text>
        <r>
          <rPr>
            <sz val="10"/>
            <color indexed="81"/>
            <rFont val="Arial"/>
            <family val="2"/>
          </rPr>
          <t>Percentual de exigências da LV respondidas no Item</t>
        </r>
      </text>
    </comment>
    <comment ref="I42" authorId="0" shapeId="0" xr:uid="{2353AFEB-0DD1-46FA-8B8A-208A00A84E45}">
      <text>
        <r>
          <rPr>
            <sz val="10"/>
            <color indexed="81"/>
            <rFont val="Arial"/>
            <family val="2"/>
          </rPr>
          <t>Percentual atendimento médio da LV do Item.
Atendimento parcial contado como 50% do atendimento.</t>
        </r>
      </text>
    </comment>
    <comment ref="E43" authorId="0" shapeId="0" xr:uid="{C4CF1C73-635B-44FE-BE28-67F7841153A2}">
      <text>
        <r>
          <rPr>
            <sz val="10"/>
            <color indexed="81"/>
            <rFont val="Tahoma"/>
            <family val="2"/>
          </rPr>
          <t>BARRA DE PROGRESSO DO ÍTEM
PGs e Exigências da LV respondidas.</t>
        </r>
      </text>
    </comment>
    <comment ref="P43" authorId="0" shapeId="0" xr:uid="{6A6B8C15-D431-4300-AEF0-255E658926F6}">
      <text>
        <r>
          <rPr>
            <sz val="9"/>
            <color indexed="81"/>
            <rFont val="Segoe UI"/>
            <family val="2"/>
          </rPr>
          <t>Qtd de PGs apoiados por I.A. no Item</t>
        </r>
      </text>
    </comment>
    <comment ref="T43" authorId="0" shapeId="0" xr:uid="{8545649E-DB5F-4E01-89A4-4A7963E39C6B}">
      <text>
        <r>
          <rPr>
            <sz val="9"/>
            <color indexed="81"/>
            <rFont val="Segoe UI"/>
            <family val="2"/>
          </rPr>
          <t>Qtd de PGs com inovação</t>
        </r>
      </text>
    </comment>
    <comment ref="L44" authorId="0" shapeId="0" xr:uid="{2E05F012-17AF-4AFF-A2C9-5A746E19BCC8}">
      <text>
        <r>
          <rPr>
            <sz val="10"/>
            <color indexed="81"/>
            <rFont val="Arial"/>
            <family val="2"/>
          </rPr>
          <t>% de atendimento médio da LV do PG</t>
        </r>
      </text>
    </comment>
    <comment ref="Q44" authorId="0" shapeId="0" xr:uid="{4072D78C-80E5-4CAE-AD49-1F0110A37615}">
      <text>
        <r>
          <rPr>
            <sz val="10"/>
            <color indexed="81"/>
            <rFont val="Arial"/>
            <family val="2"/>
          </rPr>
          <t>Grau de Abrangência considerando o limite determinado pelo % de atendimento médio da LV do PG</t>
        </r>
      </text>
    </comment>
    <comment ref="L60" authorId="0" shapeId="0" xr:uid="{353ADCEA-4B0B-49EE-892C-4F0FB9027439}">
      <text>
        <r>
          <rPr>
            <sz val="10"/>
            <color indexed="81"/>
            <rFont val="Arial"/>
            <family val="2"/>
          </rPr>
          <t>% de atendimento médio da LV do PG</t>
        </r>
      </text>
    </comment>
    <comment ref="Q60" authorId="0" shapeId="0" xr:uid="{C8D387DF-5F61-4F57-8E72-057EA1A4DE6B}">
      <text>
        <r>
          <rPr>
            <sz val="10"/>
            <color indexed="81"/>
            <rFont val="Arial"/>
            <family val="2"/>
          </rPr>
          <t>Grau de Abrangência considerando o limite determinado pelo % de atendimento médio da LV do PG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01BA6D86-9F81-40C6-9A2C-FD27ED2FA186}">
      <text>
        <r>
          <rPr>
            <b/>
            <sz val="9"/>
            <color indexed="81"/>
            <rFont val="Segoe UI"/>
            <family val="2"/>
          </rPr>
          <t>Colunas com cabeçalho AMARELO  para preenchimento pela Candidata</t>
        </r>
      </text>
    </comment>
    <comment ref="I1" authorId="0" shapeId="0" xr:uid="{3AB9524D-7DFE-42AB-84F9-C5C401915BB5}">
      <text>
        <r>
          <rPr>
            <b/>
            <sz val="9"/>
            <color indexed="81"/>
            <rFont val="Segoe UI"/>
            <family val="2"/>
          </rPr>
          <t xml:space="preserve">Colunas Vermelhas reservadas para o EXAMINADOR.
</t>
        </r>
        <r>
          <rPr>
            <sz val="9"/>
            <color indexed="81"/>
            <rFont val="Segoe UI"/>
            <family val="2"/>
          </rPr>
          <t xml:space="preserve">
</t>
        </r>
      </text>
    </comment>
    <comment ref="M1" authorId="1" shapeId="0" xr:uid="{258BCF18-CD2E-4E38-A193-CDA9F368CFD9}">
      <text>
        <r>
          <rPr>
            <sz val="9"/>
            <color indexed="81"/>
            <rFont val="Segoe UI"/>
            <family val="2"/>
          </rPr>
          <t>A ser preenchido pelo examinador ou avaliador</t>
        </r>
      </text>
    </comment>
    <comment ref="W1" authorId="0" shapeId="0" xr:uid="{BB0EEAA2-1ED6-4142-8321-AFB619C6ADE5}">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3A0915AF-1D1C-4D9B-9EDA-E05F39216DDB}">
      <text>
        <r>
          <rPr>
            <sz val="9"/>
            <color indexed="81"/>
            <rFont val="Segoe UI"/>
            <family val="2"/>
          </rPr>
          <t>Reservado para cód das linhas de Critério, Item, PG</t>
        </r>
      </text>
    </comment>
    <comment ref="B2" authorId="0" shapeId="0" xr:uid="{76D3912D-378A-4E34-B545-D5BF8DDFBE5D}">
      <text>
        <r>
          <rPr>
            <sz val="9"/>
            <color indexed="81"/>
            <rFont val="Arial"/>
            <family val="2"/>
          </rPr>
          <t>Reservado para indicar com "1" uma linha de LV ativa para o Nível da Capa.</t>
        </r>
      </text>
    </comment>
    <comment ref="C2" authorId="0" shapeId="0" xr:uid="{28FD310E-383A-45E1-ADFF-92E38BFA6867}">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2A3B3296-1C0A-425E-9D42-E871B6FFCEDB}">
      <text>
        <r>
          <rPr>
            <sz val="9"/>
            <color indexed="81"/>
            <rFont val="Arial"/>
            <family val="2"/>
          </rPr>
          <t>Reservado para identificar onde começam exigências do nível &lt;?&gt; ou para identificar uma linha de PG ou para indicar o número da exigência na LV.</t>
        </r>
      </text>
    </comment>
    <comment ref="F2" authorId="0" shapeId="0" xr:uid="{7BDC8431-5E5B-4B7C-A69D-365B2D304208}">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E4583A83-A1B6-49F8-811B-850FD800E6D1}">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B0EA4C25-7A16-4C55-9E9C-6A750C5F1F08}">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C6AD5095-0E17-484D-B334-3D75DA031997}">
      <text>
        <r>
          <rPr>
            <sz val="9"/>
            <color indexed="81"/>
            <rFont val="Arial"/>
            <family val="2"/>
          </rPr>
          <t>Esta coluna mostra a qtde de caracteres informados da célula 'Evidência' para exigências de LV.</t>
        </r>
      </text>
    </comment>
    <comment ref="K2" authorId="0" shapeId="0" xr:uid="{9BD53CCA-F9D2-4659-AB29-192B94EFFEE3}">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83129283-A27C-40C4-A20D-EA17B44B3A0E}">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305275FD-DD54-4B71-A1B0-9E5ABAF8B219}">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49240498-EA42-4E33-AF3E-ECEFA5B16FFE}">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621BA025-C564-446E-BA02-567470B43AE0}">
      <text>
        <r>
          <rPr>
            <sz val="9"/>
            <color indexed="81"/>
            <rFont val="Segoe UI"/>
            <family val="2"/>
          </rPr>
          <t>PGs com apoio de IA?
0 Não
1 Sim</t>
        </r>
      </text>
    </comment>
    <comment ref="Q2" authorId="0" shapeId="0" xr:uid="{687A95CD-7238-4B60-AAC5-C8C6008878BC}">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42C7DBA6-DA1B-4FE9-9518-51C9A259EA95}">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3B9A2F01-A48D-419A-AFC5-053F79B1DAD0}">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AC7303A2-1809-4EA7-A32F-D8CC8892B5E3}">
      <text>
        <r>
          <rPr>
            <sz val="9"/>
            <color indexed="81"/>
            <rFont val="Segoe UI"/>
            <family val="2"/>
          </rPr>
          <t>PGs com característica original, inusitada ou incomum no setor?
0 Não
1 Sim</t>
        </r>
      </text>
    </comment>
    <comment ref="V2" authorId="0" shapeId="0" xr:uid="{A3A9166B-335F-424B-BD4C-54D899BDEF64}">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AE847AF4-A216-4483-920C-DBD5F038CCE9}">
      <text>
        <r>
          <rPr>
            <sz val="10"/>
            <color indexed="81"/>
            <rFont val="Arial"/>
            <family val="2"/>
          </rPr>
          <t>Ponto de verificação
A confirmar ou esclarecer na visita. Descreva a(s) pergunta(s) a ser(em) feitas.</t>
        </r>
      </text>
    </comment>
    <comment ref="Z2" authorId="0" shapeId="0" xr:uid="{633F14AD-B5FE-4D2E-A4CC-E3EE129F94D9}">
      <text>
        <r>
          <rPr>
            <sz val="9"/>
            <color indexed="81"/>
            <rFont val="Segoe UI"/>
            <family val="2"/>
          </rPr>
          <t xml:space="preserve">Buscar Nomes/Cargos no Organograma ou Redes Internas  do Perfil. </t>
        </r>
      </text>
    </comment>
    <comment ref="AA2" authorId="0" shapeId="0" xr:uid="{F964253A-8D50-41F5-A28E-2E104CB32460}">
      <text>
        <r>
          <rPr>
            <sz val="9"/>
            <color indexed="81"/>
            <rFont val="Segoe UI"/>
            <family val="2"/>
          </rPr>
          <t xml:space="preserve">Buscar Nomes/Cargos no Organograma ou Redes Internas  do Perfil. </t>
        </r>
      </text>
    </comment>
    <comment ref="AB2" authorId="0" shapeId="0" xr:uid="{F17372D5-E0D9-4A87-B2BF-A75A11D2FD6A}">
      <text>
        <r>
          <rPr>
            <sz val="9"/>
            <color indexed="81"/>
            <rFont val="Segoe UI"/>
            <family val="2"/>
          </rPr>
          <t xml:space="preserve">Buscar Nomes/Cargos no Organograma ou Redes Internas  do Perfil. </t>
        </r>
      </text>
    </comment>
    <comment ref="E3" authorId="0" shapeId="0" xr:uid="{6AA5446C-C0AB-4A68-A81C-ACEF42E67E59}">
      <text>
        <r>
          <rPr>
            <sz val="10"/>
            <color indexed="81"/>
            <rFont val="Tahoma"/>
            <family val="2"/>
          </rPr>
          <t>BARRA DE PROGRESSO DO CRITÉRIO
PGs e Exigências da LV respondidas.</t>
        </r>
      </text>
    </comment>
    <comment ref="M3" authorId="0" shapeId="0" xr:uid="{00000000-0006-0000-0500-000011000000}">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neste Critério (aba) 5, analogamente, considerando IA e Inovação de todos os Critérios.</t>
        </r>
      </text>
    </comment>
    <comment ref="F4" authorId="0" shapeId="0" xr:uid="{9FBB3654-2241-4C2D-830B-F28A44415FD3}">
      <text>
        <r>
          <rPr>
            <sz val="10"/>
            <color indexed="81"/>
            <rFont val="Arial"/>
            <family val="2"/>
          </rPr>
          <t>Percentual de Exigências da LV respondidas no Critério</t>
        </r>
      </text>
    </comment>
    <comment ref="I4" authorId="0" shapeId="0" xr:uid="{F2054F0D-01D3-44D1-A37E-1E7E8259AB19}">
      <text>
        <r>
          <rPr>
            <sz val="10"/>
            <color indexed="81"/>
            <rFont val="Arial"/>
            <family val="2"/>
          </rPr>
          <t>Percentual atendimento médio da LV do Critério.
Atendimento parcial contado como 50% do atendimento.</t>
        </r>
      </text>
    </comment>
    <comment ref="P4" authorId="0" shapeId="0" xr:uid="{FDC7E966-16F2-4B27-8B89-87C67EB64B74}">
      <text>
        <r>
          <rPr>
            <sz val="9"/>
            <color indexed="81"/>
            <rFont val="Segoe UI"/>
            <family val="2"/>
          </rPr>
          <t>Qtd de PGs apoiados por I.A. no Critério</t>
        </r>
      </text>
    </comment>
    <comment ref="T4" authorId="0" shapeId="0" xr:uid="{94BE6A61-171F-4E17-99F8-4AD85C056DD4}">
      <text>
        <r>
          <rPr>
            <sz val="9"/>
            <color indexed="81"/>
            <rFont val="Segoe UI"/>
            <family val="2"/>
          </rPr>
          <t>Qtd de PGs com inovação</t>
        </r>
      </text>
    </comment>
    <comment ref="F7" authorId="0" shapeId="0" xr:uid="{937170F3-AE5B-4E53-98BC-C6CFF3A94D99}">
      <text>
        <r>
          <rPr>
            <sz val="10"/>
            <color indexed="81"/>
            <rFont val="Arial"/>
            <family val="2"/>
          </rPr>
          <t>Percentual de exigências da LV respondidas no Item</t>
        </r>
      </text>
    </comment>
    <comment ref="I7" authorId="0" shapeId="0" xr:uid="{C23BD971-04F1-46C5-9B03-2CDF26091B9F}">
      <text>
        <r>
          <rPr>
            <sz val="10"/>
            <color indexed="81"/>
            <rFont val="Arial"/>
            <family val="2"/>
          </rPr>
          <t>Percentual atendimento médio da LV do Item.
Atendimento parcial contado como 50% do atendimento.</t>
        </r>
      </text>
    </comment>
    <comment ref="E8" authorId="0" shapeId="0" xr:uid="{36DA4A1E-811B-4F6E-8968-E69A1EBC8621}">
      <text>
        <r>
          <rPr>
            <sz val="10"/>
            <color indexed="81"/>
            <rFont val="Tahoma"/>
            <family val="2"/>
          </rPr>
          <t>BARRA DE PROGRESSO DO ÍTEM
PGs e Exigências da LV respondidas.</t>
        </r>
      </text>
    </comment>
    <comment ref="P8" authorId="0" shapeId="0" xr:uid="{0DC5BA02-6E70-463F-9713-C9F3BA02D5B7}">
      <text>
        <r>
          <rPr>
            <sz val="9"/>
            <color indexed="81"/>
            <rFont val="Segoe UI"/>
            <family val="2"/>
          </rPr>
          <t>Qtd de PGs apoiados por I.A. no Item</t>
        </r>
      </text>
    </comment>
    <comment ref="T8" authorId="0" shapeId="0" xr:uid="{ABFB1A61-1820-4F5F-BB8F-D84433D18518}">
      <text>
        <r>
          <rPr>
            <sz val="9"/>
            <color indexed="81"/>
            <rFont val="Segoe UI"/>
            <family val="2"/>
          </rPr>
          <t>Qtd de PGs com inovação</t>
        </r>
      </text>
    </comment>
    <comment ref="L9" authorId="0" shapeId="0" xr:uid="{D9661A55-4582-40A7-8DF4-13D748ED270E}">
      <text>
        <r>
          <rPr>
            <sz val="10"/>
            <color indexed="81"/>
            <rFont val="Arial"/>
            <family val="2"/>
          </rPr>
          <t>% de atendimento médio da LV do PG</t>
        </r>
      </text>
    </comment>
    <comment ref="Q9" authorId="0" shapeId="0" xr:uid="{0E20CF04-2D38-4369-B098-1C4923710EA6}">
      <text>
        <r>
          <rPr>
            <sz val="10"/>
            <color indexed="81"/>
            <rFont val="Arial"/>
            <family val="2"/>
          </rPr>
          <t>Grau de Abrangência considerando o limite determinado pelo % de atendimento médio da LV do PG</t>
        </r>
      </text>
    </comment>
    <comment ref="L23" authorId="0" shapeId="0" xr:uid="{A83BA6BE-5408-4FF5-97D1-29C8BFB3EC8E}">
      <text>
        <r>
          <rPr>
            <sz val="10"/>
            <color indexed="81"/>
            <rFont val="Arial"/>
            <family val="2"/>
          </rPr>
          <t>% de atendimento médio da LV do PG</t>
        </r>
      </text>
    </comment>
    <comment ref="Q23" authorId="0" shapeId="0" xr:uid="{BF0D63EA-E836-4F7C-AE43-C62379BEAE74}">
      <text>
        <r>
          <rPr>
            <sz val="10"/>
            <color indexed="81"/>
            <rFont val="Arial"/>
            <family val="2"/>
          </rPr>
          <t>Grau de Abrangência considerando o limite determinado pelo % de atendimento médio da LV do PG</t>
        </r>
      </text>
    </comment>
    <comment ref="F42" authorId="0" shapeId="0" xr:uid="{7CDF8178-4C50-40ED-9E3C-6DCA852EFDD2}">
      <text>
        <r>
          <rPr>
            <sz val="10"/>
            <color indexed="81"/>
            <rFont val="Arial"/>
            <family val="2"/>
          </rPr>
          <t>Percentual de exigências da LV respondidas no Item</t>
        </r>
      </text>
    </comment>
    <comment ref="I42" authorId="0" shapeId="0" xr:uid="{5FBE959E-17DF-4B6E-9474-64A503F83B34}">
      <text>
        <r>
          <rPr>
            <sz val="10"/>
            <color indexed="81"/>
            <rFont val="Arial"/>
            <family val="2"/>
          </rPr>
          <t>Percentual atendimento médio da LV do Item.
Atendimento parcial contado como 50% do atendimento.</t>
        </r>
      </text>
    </comment>
    <comment ref="E43" authorId="0" shapeId="0" xr:uid="{4CC820A2-2833-4295-95F8-D2B686216596}">
      <text>
        <r>
          <rPr>
            <sz val="10"/>
            <color indexed="81"/>
            <rFont val="Tahoma"/>
            <family val="2"/>
          </rPr>
          <t>BARRA DE PROGRESSO DO ÍTEM
PGs e Exigências da LV respondidas.</t>
        </r>
      </text>
    </comment>
    <comment ref="P43" authorId="0" shapeId="0" xr:uid="{58CEB667-9C65-4ECA-BEBB-320282A9E219}">
      <text>
        <r>
          <rPr>
            <sz val="9"/>
            <color indexed="81"/>
            <rFont val="Segoe UI"/>
            <family val="2"/>
          </rPr>
          <t>Qtd de PGs apoiados por I.A. no Item</t>
        </r>
      </text>
    </comment>
    <comment ref="T43" authorId="0" shapeId="0" xr:uid="{0597C057-4A86-4381-90F3-4D3CCC741E0C}">
      <text>
        <r>
          <rPr>
            <sz val="9"/>
            <color indexed="81"/>
            <rFont val="Segoe UI"/>
            <family val="2"/>
          </rPr>
          <t>Qtd de PGs com inovação</t>
        </r>
      </text>
    </comment>
    <comment ref="L44" authorId="0" shapeId="0" xr:uid="{DAEF486C-F437-4011-ABDA-631066695710}">
      <text>
        <r>
          <rPr>
            <sz val="10"/>
            <color indexed="81"/>
            <rFont val="Arial"/>
            <family val="2"/>
          </rPr>
          <t>% de atendimento médio da LV do PG</t>
        </r>
      </text>
    </comment>
    <comment ref="Q44" authorId="0" shapeId="0" xr:uid="{F6426936-1C18-431D-A910-37C513A0CEC6}">
      <text>
        <r>
          <rPr>
            <sz val="10"/>
            <color indexed="81"/>
            <rFont val="Arial"/>
            <family val="2"/>
          </rPr>
          <t>Grau de Abrangência considerando o limite determinado pelo % de atendimento médio da LV do PG</t>
        </r>
      </text>
    </comment>
    <comment ref="L62" authorId="0" shapeId="0" xr:uid="{C444484C-C314-4EA0-9AB2-167F12D43290}">
      <text>
        <r>
          <rPr>
            <sz val="10"/>
            <color indexed="81"/>
            <rFont val="Arial"/>
            <family val="2"/>
          </rPr>
          <t>% de atendimento médio da LV do PG</t>
        </r>
      </text>
    </comment>
    <comment ref="Q62" authorId="0" shapeId="0" xr:uid="{84200CD3-AB9E-490F-A57C-FB4FB6945FCD}">
      <text>
        <r>
          <rPr>
            <sz val="10"/>
            <color indexed="81"/>
            <rFont val="Arial"/>
            <family val="2"/>
          </rPr>
          <t>Grau de Abrangência considerando o limite determinado pelo % de atendimento médio da LV do PG</t>
        </r>
      </text>
    </comment>
    <comment ref="F78" authorId="0" shapeId="0" xr:uid="{8CCCD70D-22C7-4406-97D0-4A51F0A3E1EA}">
      <text>
        <r>
          <rPr>
            <sz val="10"/>
            <color indexed="81"/>
            <rFont val="Arial"/>
            <family val="2"/>
          </rPr>
          <t>Percentual de exigências da LV respondidas no Item</t>
        </r>
      </text>
    </comment>
    <comment ref="I78" authorId="0" shapeId="0" xr:uid="{9C9367AD-0A26-4065-9607-DDAE9A41655E}">
      <text>
        <r>
          <rPr>
            <sz val="10"/>
            <color indexed="81"/>
            <rFont val="Arial"/>
            <family val="2"/>
          </rPr>
          <t>Percentual atendimento médio da LV do Item.
Atendimento parcial contado como 50% do atendimento.</t>
        </r>
      </text>
    </comment>
    <comment ref="E79" authorId="0" shapeId="0" xr:uid="{CF702E7B-23D7-4C19-8240-1687536BA37D}">
      <text>
        <r>
          <rPr>
            <sz val="10"/>
            <color indexed="81"/>
            <rFont val="Tahoma"/>
            <family val="2"/>
          </rPr>
          <t>BARRA DE PROGRESSO DO ÍTEM
PGs e Exigências da LV respondidas.</t>
        </r>
      </text>
    </comment>
    <comment ref="P79" authorId="0" shapeId="0" xr:uid="{A687AC95-FDCC-4A3E-911C-48B517D1748A}">
      <text>
        <r>
          <rPr>
            <sz val="9"/>
            <color indexed="81"/>
            <rFont val="Segoe UI"/>
            <family val="2"/>
          </rPr>
          <t>Qtd de PGs apoiados por I.A. no Item</t>
        </r>
      </text>
    </comment>
    <comment ref="T79" authorId="0" shapeId="0" xr:uid="{9A32AE1B-CF1B-4A20-9008-5EFA30923FA1}">
      <text>
        <r>
          <rPr>
            <sz val="9"/>
            <color indexed="81"/>
            <rFont val="Segoe UI"/>
            <family val="2"/>
          </rPr>
          <t>Qtd de PGs com inovação</t>
        </r>
      </text>
    </comment>
    <comment ref="L80" authorId="0" shapeId="0" xr:uid="{FD51406D-5A60-45A8-871F-D7D29B64C689}">
      <text>
        <r>
          <rPr>
            <sz val="10"/>
            <color indexed="81"/>
            <rFont val="Arial"/>
            <family val="2"/>
          </rPr>
          <t>% de atendimento médio da LV do PG</t>
        </r>
      </text>
    </comment>
    <comment ref="Q80" authorId="0" shapeId="0" xr:uid="{6C48A742-7B82-4C95-99B6-0FC1DBC6B763}">
      <text>
        <r>
          <rPr>
            <sz val="10"/>
            <color indexed="81"/>
            <rFont val="Arial"/>
            <family val="2"/>
          </rPr>
          <t>Grau de Abrangência considerando o limite determinado pelo % de atendimento médio da LV do PG</t>
        </r>
      </text>
    </comment>
    <comment ref="L101" authorId="0" shapeId="0" xr:uid="{6BDD1C9E-1613-4198-9696-CD47259262B2}">
      <text>
        <r>
          <rPr>
            <sz val="10"/>
            <color indexed="81"/>
            <rFont val="Arial"/>
            <family val="2"/>
          </rPr>
          <t>% de atendimento médio da LV do PG</t>
        </r>
      </text>
    </comment>
    <comment ref="Q101" authorId="0" shapeId="0" xr:uid="{B07B1B3C-34AE-49F7-A5FC-C837C0EA8BE2}">
      <text>
        <r>
          <rPr>
            <sz val="10"/>
            <color indexed="81"/>
            <rFont val="Arial"/>
            <family val="2"/>
          </rPr>
          <t>Grau de Abrangência considerando o limite determinado pelo % de atendimento médio da LV do PG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CF2DD2D7-4A8D-4BF9-B151-F91DD3580D72}">
      <text>
        <r>
          <rPr>
            <b/>
            <sz val="9"/>
            <color indexed="81"/>
            <rFont val="Segoe UI"/>
            <family val="2"/>
          </rPr>
          <t>Colunas com cabeçalho AMARELO  para preenchimento pela Candidata</t>
        </r>
      </text>
    </comment>
    <comment ref="I1" authorId="0" shapeId="0" xr:uid="{3E5F5549-1949-4328-9525-231A01550023}">
      <text>
        <r>
          <rPr>
            <b/>
            <sz val="9"/>
            <color indexed="81"/>
            <rFont val="Segoe UI"/>
            <family val="2"/>
          </rPr>
          <t xml:space="preserve">Colunas Vermelhas reservadas para o EXAMINADOR.
</t>
        </r>
        <r>
          <rPr>
            <sz val="9"/>
            <color indexed="81"/>
            <rFont val="Segoe UI"/>
            <family val="2"/>
          </rPr>
          <t xml:space="preserve">
</t>
        </r>
      </text>
    </comment>
    <comment ref="M1" authorId="1" shapeId="0" xr:uid="{0CAC7549-4A1F-40BD-881A-8DFDED8FB886}">
      <text>
        <r>
          <rPr>
            <sz val="9"/>
            <color indexed="81"/>
            <rFont val="Segoe UI"/>
            <family val="2"/>
          </rPr>
          <t>A ser preenchido pelo examinador ou avaliador</t>
        </r>
      </text>
    </comment>
    <comment ref="W1" authorId="0" shapeId="0" xr:uid="{C96F10A8-B062-456A-9831-5680AF9F15D2}">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70F7D7EA-A37A-4150-9E70-5E262D82F95E}">
      <text>
        <r>
          <rPr>
            <sz val="9"/>
            <color indexed="81"/>
            <rFont val="Segoe UI"/>
            <family val="2"/>
          </rPr>
          <t>Reservado para cód das linhas de Critério, Item, PG</t>
        </r>
      </text>
    </comment>
    <comment ref="B2" authorId="0" shapeId="0" xr:uid="{B2B64122-B0AA-44A0-A313-8724F51CDC89}">
      <text>
        <r>
          <rPr>
            <sz val="9"/>
            <color indexed="81"/>
            <rFont val="Arial"/>
            <family val="2"/>
          </rPr>
          <t>Reservado para indicar com "1" uma linha de LV ativa para o Nível da Capa.</t>
        </r>
      </text>
    </comment>
    <comment ref="C2" authorId="0" shapeId="0" xr:uid="{586364B2-0680-4BEC-88C1-88D1CE124B3F}">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65DC716B-A832-4715-ADD6-01A5709591E3}">
      <text>
        <r>
          <rPr>
            <sz val="9"/>
            <color indexed="81"/>
            <rFont val="Arial"/>
            <family val="2"/>
          </rPr>
          <t>Reservado para identificar onde começam exigências do nível &lt;?&gt; ou para identificar uma linha de PG ou para indicar o número da exigência na LV.</t>
        </r>
      </text>
    </comment>
    <comment ref="F2" authorId="0" shapeId="0" xr:uid="{94BC2128-868F-494E-A1F5-283388F8D1CF}">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1E70FD85-16EF-4C42-B64C-DD80DD1220EF}">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E64A1780-7E5E-4495-ACD7-464FEE251F07}">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E6EC9740-4FCC-43D7-BAE0-1D384E7F759F}">
      <text>
        <r>
          <rPr>
            <sz val="9"/>
            <color indexed="81"/>
            <rFont val="Arial"/>
            <family val="2"/>
          </rPr>
          <t>Esta coluna mostra a qtde de caracteres informados da célula 'Evidência' para exigências de LV.</t>
        </r>
      </text>
    </comment>
    <comment ref="K2" authorId="0" shapeId="0" xr:uid="{CB32685E-4A84-488D-B63E-E2E32489F48E}">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469243F6-384F-458F-A163-0519E96BC59B}">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07D88CAF-EEB1-4568-920D-E26F99141646}">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4C46A769-A2E4-4D60-B45D-816D5C236464}">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C3F4D8DA-7FAA-4820-9B95-BFD30EBDBFB1}">
      <text>
        <r>
          <rPr>
            <sz val="9"/>
            <color indexed="81"/>
            <rFont val="Segoe UI"/>
            <family val="2"/>
          </rPr>
          <t>PGs com apoio de IA?
0 Não
1 Sim</t>
        </r>
      </text>
    </comment>
    <comment ref="Q2" authorId="0" shapeId="0" xr:uid="{1FFD7911-BB45-4006-B113-D115176A0F02}">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B524ECE1-EB28-4B87-9F5E-B5EC8D341FDA}">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F9905D10-19C2-46FB-8F0A-6E4311550F56}">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4E006FA2-B3E8-4D62-BF59-5421A05BD752}">
      <text>
        <r>
          <rPr>
            <sz val="9"/>
            <color indexed="81"/>
            <rFont val="Segoe UI"/>
            <family val="2"/>
          </rPr>
          <t>PGs com característica original, inusitada ou incomum no setor?
0 Não
1 Sim</t>
        </r>
      </text>
    </comment>
    <comment ref="V2" authorId="0" shapeId="0" xr:uid="{5EB36BAD-3912-4D15-A49C-3C31E4D9B7C7}">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511C406A-D308-40B6-8ED3-5CFA474FFFB2}">
      <text>
        <r>
          <rPr>
            <sz val="10"/>
            <color indexed="81"/>
            <rFont val="Arial"/>
            <family val="2"/>
          </rPr>
          <t>Ponto de verificação
A confirmar ou esclarecer na visita. Descreva a(s) pergunta(s) a ser(em) feitas.</t>
        </r>
      </text>
    </comment>
    <comment ref="Z2" authorId="0" shapeId="0" xr:uid="{6979F361-96B6-4306-B470-EDDC7CAE3826}">
      <text>
        <r>
          <rPr>
            <sz val="9"/>
            <color indexed="81"/>
            <rFont val="Segoe UI"/>
            <family val="2"/>
          </rPr>
          <t xml:space="preserve">Buscar Nomes/Cargos no Organograma ou Redes Internas  do Perfil. </t>
        </r>
      </text>
    </comment>
    <comment ref="AA2" authorId="0" shapeId="0" xr:uid="{73BD5C35-A7C0-415A-9720-955D3D84FEE1}">
      <text>
        <r>
          <rPr>
            <sz val="9"/>
            <color indexed="81"/>
            <rFont val="Segoe UI"/>
            <family val="2"/>
          </rPr>
          <t xml:space="preserve">Buscar Nomes/Cargos no Organograma ou Redes Internas  do Perfil. </t>
        </r>
      </text>
    </comment>
    <comment ref="AB2" authorId="0" shapeId="0" xr:uid="{2E4D2CC2-D03D-4B51-A9AA-AD951E0AEF4B}">
      <text>
        <r>
          <rPr>
            <sz val="9"/>
            <color indexed="81"/>
            <rFont val="Segoe UI"/>
            <family val="2"/>
          </rPr>
          <t xml:space="preserve">Buscar Nomes/Cargos no Organograma ou Redes Internas  do Perfil. </t>
        </r>
      </text>
    </comment>
    <comment ref="E3" authorId="0" shapeId="0" xr:uid="{B0CBC68A-71D2-4A80-85A7-F37A24031969}">
      <text>
        <r>
          <rPr>
            <sz val="10"/>
            <color indexed="81"/>
            <rFont val="Tahoma"/>
            <family val="2"/>
          </rPr>
          <t>BARRA DE PROGRESSO DO CRITÉRIO
PGs e Exigências da LV respondidas.</t>
        </r>
      </text>
    </comment>
    <comment ref="M3" authorId="0" shapeId="0" xr:uid="{00000000-0006-0000-0600-000011000000}">
      <text>
        <r>
          <rPr>
            <sz val="9"/>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3B17DDE0-4F24-4A64-8EFD-6BF498F22EFC}">
      <text>
        <r>
          <rPr>
            <sz val="10"/>
            <color indexed="81"/>
            <rFont val="Arial"/>
            <family val="2"/>
          </rPr>
          <t>Percentual de Exigências da LV respondidas no Critério</t>
        </r>
      </text>
    </comment>
    <comment ref="I4" authorId="0" shapeId="0" xr:uid="{8136DB65-B1C0-46B5-9928-E77DD8361425}">
      <text>
        <r>
          <rPr>
            <sz val="10"/>
            <color indexed="81"/>
            <rFont val="Arial"/>
            <family val="2"/>
          </rPr>
          <t>Percentual atendimento médio da LV do Critério.
Atendimento parcial contado como 50% do atendimento.</t>
        </r>
      </text>
    </comment>
    <comment ref="P4" authorId="0" shapeId="0" xr:uid="{9DE8873F-44BA-4289-856E-CBCD43FB8A14}">
      <text>
        <r>
          <rPr>
            <sz val="9"/>
            <color indexed="81"/>
            <rFont val="Segoe UI"/>
            <family val="2"/>
          </rPr>
          <t>Qtd de PGs apoiados por I.A. no Critério</t>
        </r>
      </text>
    </comment>
    <comment ref="T4" authorId="0" shapeId="0" xr:uid="{1EAB2E41-88DA-4FFB-B199-8CED59C89E1D}">
      <text>
        <r>
          <rPr>
            <sz val="9"/>
            <color indexed="81"/>
            <rFont val="Segoe UI"/>
            <family val="2"/>
          </rPr>
          <t>Qtd de PGs com inovaçao</t>
        </r>
      </text>
    </comment>
    <comment ref="F7" authorId="0" shapeId="0" xr:uid="{CC320C6C-78CF-4B10-9727-D6F25E81023C}">
      <text>
        <r>
          <rPr>
            <sz val="10"/>
            <color indexed="81"/>
            <rFont val="Arial"/>
            <family val="2"/>
          </rPr>
          <t>Percentual de exigências da LV respondidas no Item</t>
        </r>
      </text>
    </comment>
    <comment ref="I7" authorId="0" shapeId="0" xr:uid="{EBC9CA4B-3B2F-40F8-A456-C8BDB1830B73}">
      <text>
        <r>
          <rPr>
            <sz val="10"/>
            <color indexed="81"/>
            <rFont val="Arial"/>
            <family val="2"/>
          </rPr>
          <t>Percentual atendimento médio da LV do Item.
Atendimento parcial contado como 50% do atendimento.</t>
        </r>
      </text>
    </comment>
    <comment ref="E8" authorId="0" shapeId="0" xr:uid="{B838E43A-8CA8-45A4-8D9E-512A52CAD664}">
      <text>
        <r>
          <rPr>
            <sz val="10"/>
            <color indexed="81"/>
            <rFont val="Tahoma"/>
            <family val="2"/>
          </rPr>
          <t>BARRA DE PROGRESSO DO ÍTEM
PGs e Exigências da LV respondidas.</t>
        </r>
      </text>
    </comment>
    <comment ref="P8" authorId="0" shapeId="0" xr:uid="{D9107702-CE1C-4BF4-B262-F9688036C0FC}">
      <text>
        <r>
          <rPr>
            <sz val="9"/>
            <color indexed="81"/>
            <rFont val="Segoe UI"/>
            <family val="2"/>
          </rPr>
          <t>Qtd de PGs apoiados por I.A. no Item</t>
        </r>
      </text>
    </comment>
    <comment ref="T8" authorId="0" shapeId="0" xr:uid="{AE95BD5C-23A2-426D-885F-F035A7F11524}">
      <text>
        <r>
          <rPr>
            <sz val="9"/>
            <color indexed="81"/>
            <rFont val="Segoe UI"/>
            <family val="2"/>
          </rPr>
          <t>Qtd de PGs com inovaçao</t>
        </r>
      </text>
    </comment>
    <comment ref="L9" authorId="0" shapeId="0" xr:uid="{1BEF1BD8-6171-472C-90ED-41FC6502C856}">
      <text>
        <r>
          <rPr>
            <sz val="10"/>
            <color indexed="81"/>
            <rFont val="Arial"/>
            <family val="2"/>
          </rPr>
          <t>% de atendimento médio da LV do PG</t>
        </r>
      </text>
    </comment>
    <comment ref="Q9" authorId="0" shapeId="0" xr:uid="{C6EAC36A-23A9-439A-9FF9-B77260C0B032}">
      <text>
        <r>
          <rPr>
            <sz val="10"/>
            <color indexed="81"/>
            <rFont val="Arial"/>
            <family val="2"/>
          </rPr>
          <t>Grau de Abrangência considerando o limite determinado pelo % de atendimento médio da LV do PG</t>
        </r>
      </text>
    </comment>
    <comment ref="L27" authorId="0" shapeId="0" xr:uid="{CC8660AC-FF28-4488-ABF8-49D9972C30E5}">
      <text>
        <r>
          <rPr>
            <sz val="10"/>
            <color indexed="81"/>
            <rFont val="Arial"/>
            <family val="2"/>
          </rPr>
          <t>% de atendimento médio da LV do PG</t>
        </r>
      </text>
    </comment>
    <comment ref="Q27" authorId="0" shapeId="0" xr:uid="{76F2B2C6-E2BE-48CA-A1ED-45A70E2B8652}">
      <text>
        <r>
          <rPr>
            <sz val="10"/>
            <color indexed="81"/>
            <rFont val="Arial"/>
            <family val="2"/>
          </rPr>
          <t>Grau de Abrangência considerando o limite determinado pelo % de atendimento médio da LV do PG</t>
        </r>
      </text>
    </comment>
    <comment ref="L44" authorId="0" shapeId="0" xr:uid="{A8547ADF-6716-4F6C-A2AC-C517A02D780A}">
      <text>
        <r>
          <rPr>
            <sz val="10"/>
            <color indexed="81"/>
            <rFont val="Arial"/>
            <family val="2"/>
          </rPr>
          <t>% de atendimento médio da LV do PG</t>
        </r>
      </text>
    </comment>
    <comment ref="Q44" authorId="0" shapeId="0" xr:uid="{BB6E066E-3488-4966-9A2A-549A3505599D}">
      <text>
        <r>
          <rPr>
            <sz val="10"/>
            <color indexed="81"/>
            <rFont val="Arial"/>
            <family val="2"/>
          </rPr>
          <t>Grau de Abrangência considerando o limite determinado pelo % de atendimento médio da LV do PG</t>
        </r>
      </text>
    </comment>
    <comment ref="L64" authorId="0" shapeId="0" xr:uid="{DA2DA09E-21AB-4A3D-AFD0-6435DD69E397}">
      <text>
        <r>
          <rPr>
            <sz val="10"/>
            <color indexed="81"/>
            <rFont val="Arial"/>
            <family val="2"/>
          </rPr>
          <t>% de atendimento médio da LV do PG</t>
        </r>
      </text>
    </comment>
    <comment ref="Q64" authorId="0" shapeId="0" xr:uid="{04E9FF19-4142-498F-BC67-12141C54EE1F}">
      <text>
        <r>
          <rPr>
            <sz val="10"/>
            <color indexed="81"/>
            <rFont val="Arial"/>
            <family val="2"/>
          </rPr>
          <t>Grau de Abrangência considerando o limite determinado pelo % de atendimento médio da LV do PG</t>
        </r>
      </text>
    </comment>
    <comment ref="L84" authorId="0" shapeId="0" xr:uid="{904E5D3B-A910-42A7-A933-9F0F91AE4187}">
      <text>
        <r>
          <rPr>
            <sz val="10"/>
            <color indexed="81"/>
            <rFont val="Arial"/>
            <family val="2"/>
          </rPr>
          <t>% de atendimento médio da LV do PG</t>
        </r>
      </text>
    </comment>
    <comment ref="Q84" authorId="0" shapeId="0" xr:uid="{1C737971-4E15-4670-BDF0-665243E4FF00}">
      <text>
        <r>
          <rPr>
            <sz val="10"/>
            <color indexed="81"/>
            <rFont val="Arial"/>
            <family val="2"/>
          </rPr>
          <t>Grau de Abrangência considerando o limite determinado pelo % de atendimento médio da LV do PG</t>
        </r>
      </text>
    </comment>
    <comment ref="F108" authorId="0" shapeId="0" xr:uid="{6259395B-B07C-45FE-B5D5-BDBA76D81384}">
      <text>
        <r>
          <rPr>
            <sz val="10"/>
            <color indexed="81"/>
            <rFont val="Arial"/>
            <family val="2"/>
          </rPr>
          <t>Percentual de exigências da LV respondidas no Item</t>
        </r>
      </text>
    </comment>
    <comment ref="I108" authorId="0" shapeId="0" xr:uid="{62EAE24D-58D8-4F58-BBF5-E0534E8258B6}">
      <text>
        <r>
          <rPr>
            <sz val="10"/>
            <color indexed="81"/>
            <rFont val="Arial"/>
            <family val="2"/>
          </rPr>
          <t>Percentual atendimento médio da LV do Item.
Atendimento parcial contado como 50% do atendimento.</t>
        </r>
      </text>
    </comment>
    <comment ref="E109" authorId="0" shapeId="0" xr:uid="{BBC1A34D-7EF4-42AE-B083-9D51D7CCF11B}">
      <text>
        <r>
          <rPr>
            <sz val="10"/>
            <color indexed="81"/>
            <rFont val="Tahoma"/>
            <family val="2"/>
          </rPr>
          <t>BARRA DE PROGRESSO DO ÍTEM
PGs e Exigências da LV respondidas.</t>
        </r>
      </text>
    </comment>
    <comment ref="P109" authorId="0" shapeId="0" xr:uid="{7812FAF6-EC2B-402A-B629-EA3216EE2B5A}">
      <text>
        <r>
          <rPr>
            <sz val="9"/>
            <color indexed="81"/>
            <rFont val="Segoe UI"/>
            <family val="2"/>
          </rPr>
          <t>Qtd de PGs apoiados por I.A. no Item</t>
        </r>
      </text>
    </comment>
    <comment ref="T109" authorId="0" shapeId="0" xr:uid="{6D181C50-1A00-4753-8AEC-C49F210FEF23}">
      <text>
        <r>
          <rPr>
            <sz val="9"/>
            <color indexed="81"/>
            <rFont val="Segoe UI"/>
            <family val="2"/>
          </rPr>
          <t>Qtd de PGs com inovaçao</t>
        </r>
      </text>
    </comment>
    <comment ref="L110" authorId="0" shapeId="0" xr:uid="{C44071D6-10A7-4214-965A-808E009BBF62}">
      <text>
        <r>
          <rPr>
            <sz val="10"/>
            <color indexed="81"/>
            <rFont val="Arial"/>
            <family val="2"/>
          </rPr>
          <t>% de atendimento médio da LV do PG</t>
        </r>
      </text>
    </comment>
    <comment ref="Q110" authorId="0" shapeId="0" xr:uid="{6BF00F8E-D2E3-4717-B671-D71CA730884C}">
      <text>
        <r>
          <rPr>
            <sz val="10"/>
            <color indexed="81"/>
            <rFont val="Arial"/>
            <family val="2"/>
          </rPr>
          <t>Grau de Abrangência considerando o limite determinado pelo % de atendimento médio da LV do PG</t>
        </r>
      </text>
    </comment>
    <comment ref="L124" authorId="0" shapeId="0" xr:uid="{55112A4C-5506-4BE0-AA4F-7199896572B1}">
      <text>
        <r>
          <rPr>
            <sz val="10"/>
            <color indexed="81"/>
            <rFont val="Arial"/>
            <family val="2"/>
          </rPr>
          <t>% de atendimento médio da LV do PG</t>
        </r>
      </text>
    </comment>
    <comment ref="Q124" authorId="0" shapeId="0" xr:uid="{E06C3F8B-478B-47EE-A251-F4752F46A289}">
      <text>
        <r>
          <rPr>
            <sz val="10"/>
            <color indexed="81"/>
            <rFont val="Arial"/>
            <family val="2"/>
          </rPr>
          <t>Grau de Abrangência considerando o limite determinado pelo % de atendimento médio da LV do PG</t>
        </r>
      </text>
    </comment>
    <comment ref="L138" authorId="0" shapeId="0" xr:uid="{12BB74D9-16A4-48E0-956F-060F0D88DE1B}">
      <text>
        <r>
          <rPr>
            <sz val="10"/>
            <color indexed="81"/>
            <rFont val="Arial"/>
            <family val="2"/>
          </rPr>
          <t>% de atendimento médio da LV do PG</t>
        </r>
      </text>
    </comment>
    <comment ref="Q138" authorId="0" shapeId="0" xr:uid="{3F2061D8-E54C-410A-97E6-7EDB79DCE936}">
      <text>
        <r>
          <rPr>
            <sz val="10"/>
            <color indexed="81"/>
            <rFont val="Arial"/>
            <family val="2"/>
          </rPr>
          <t>Grau de Abrangência considerando o limite determinado pelo % de atendimento médio da LV do PG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Carlos Schauff</author>
    <author>User</author>
  </authors>
  <commentList>
    <comment ref="F1" authorId="0" shapeId="0" xr:uid="{0F5D13F9-5E79-456C-986F-592652E0F30B}">
      <text>
        <r>
          <rPr>
            <b/>
            <sz val="9"/>
            <color indexed="81"/>
            <rFont val="Segoe UI"/>
            <family val="2"/>
          </rPr>
          <t>Colunas com cabeçalho AMARELO  para preenchimento pela Candidata</t>
        </r>
      </text>
    </comment>
    <comment ref="I1" authorId="0" shapeId="0" xr:uid="{39446583-90FF-464C-9153-F791D104129C}">
      <text>
        <r>
          <rPr>
            <b/>
            <sz val="9"/>
            <color indexed="81"/>
            <rFont val="Segoe UI"/>
            <family val="2"/>
          </rPr>
          <t xml:space="preserve">Colunas Vermelhas reservadas para o EXAMINADOR.
</t>
        </r>
        <r>
          <rPr>
            <sz val="9"/>
            <color indexed="81"/>
            <rFont val="Segoe UI"/>
            <family val="2"/>
          </rPr>
          <t xml:space="preserve">
</t>
        </r>
      </text>
    </comment>
    <comment ref="M1" authorId="1" shapeId="0" xr:uid="{3AE97329-0A19-4DD7-8E26-B6608BB5A761}">
      <text>
        <r>
          <rPr>
            <sz val="9"/>
            <color indexed="81"/>
            <rFont val="Segoe UI"/>
            <family val="2"/>
          </rPr>
          <t>A ser preenchido pelo examinador ou avaliador</t>
        </r>
      </text>
    </comment>
    <comment ref="W1" authorId="0" shapeId="0" xr:uid="{BC1FDBA7-EBC2-4B24-9532-DB0A10E2CCB2}">
      <text>
        <r>
          <rPr>
            <sz val="10"/>
            <color indexed="81"/>
            <rFont val="Tahoma"/>
            <family val="2"/>
          </rPr>
          <t xml:space="preserve">Qualifica o Comentário de Ponto Forte ou Oport. de Melhoria.
OM = "-" </t>
        </r>
        <r>
          <rPr>
            <b/>
            <sz val="10"/>
            <color indexed="81"/>
            <rFont val="Tahoma"/>
            <family val="2"/>
          </rPr>
          <t xml:space="preserve">ou vazio
</t>
        </r>
        <r>
          <rPr>
            <sz val="10"/>
            <color indexed="81"/>
            <rFont val="Tahoma"/>
            <family val="2"/>
          </rPr>
          <t xml:space="preserve">
PF = "+" </t>
        </r>
      </text>
    </comment>
    <comment ref="A2" authorId="0" shapeId="0" xr:uid="{91B9563B-7962-4043-970C-BD0FDAF43C35}">
      <text>
        <r>
          <rPr>
            <sz val="9"/>
            <color indexed="81"/>
            <rFont val="Segoe UI"/>
            <family val="2"/>
          </rPr>
          <t>Reservado para cód das linhas de Critério, Item, PG</t>
        </r>
      </text>
    </comment>
    <comment ref="B2" authorId="0" shapeId="0" xr:uid="{AA34402A-1F6A-4FF3-8F0F-8D51D4A05225}">
      <text>
        <r>
          <rPr>
            <sz val="9"/>
            <color indexed="81"/>
            <rFont val="Arial"/>
            <family val="2"/>
          </rPr>
          <t>Reservado para indicar com "1" uma linha de LV ativa para o Nível da Capa.</t>
        </r>
      </text>
    </comment>
    <comment ref="C2" authorId="0" shapeId="0" xr:uid="{808BAA91-CD11-4697-AB67-A3D4810403BE}">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171F9E5C-6A00-4FAB-A0FE-12B03BE3E36F}">
      <text>
        <r>
          <rPr>
            <sz val="9"/>
            <color indexed="81"/>
            <rFont val="Arial"/>
            <family val="2"/>
          </rPr>
          <t>Reservado para identificar onde começam exigências do nível &lt;?&gt; ou para identificar uma linha de PG ou para indicar o número da exigência na LV.</t>
        </r>
      </text>
    </comment>
    <comment ref="F2" authorId="0" shapeId="0" xr:uid="{30891CEA-6C54-445B-9576-61EF876023FD}">
      <text>
        <r>
          <rPr>
            <sz val="10"/>
            <color indexed="81"/>
            <rFont val="Arial"/>
            <family val="2"/>
          </rPr>
          <t xml:space="preserve">Atendimento de PG ou Exigência de LV:
"S" Sim, atende completamente
"N" Não atende 
"P" Atende parcialmente ou Atende parcialmente justificado
"NA" Não aplicável justificado
Obs. Se adicionar espaço após a opção a célula fica ROSA (erro)
Quando for "NA" ou "P" justificados na coluna 'Justificativa de não aplicabilidade', se a justificativa for aceita pelo EXAMINADOR, então a coluna </t>
        </r>
        <r>
          <rPr>
            <b/>
            <sz val="10"/>
            <color indexed="81"/>
            <rFont val="Arial"/>
            <family val="2"/>
          </rPr>
          <t>Conf</t>
        </r>
        <r>
          <rPr>
            <sz val="10"/>
            <color indexed="81"/>
            <rFont val="Arial"/>
            <family val="2"/>
          </rPr>
          <t xml:space="preserve">irmação ganhará "S", como se fosse integralmente atendida. Caso contrário, a confirmação será "N" ou "P".
SE A CÉLULA ESTIVER ROSA É PORQUE FOI INSERIDO UM ESPAÇO EM BRANCO APÓS DIGITAR A OPÇAO, O QUE CAUSARÁ ERRO DE CONTABILIZAÇÃO, OU TRATA-SE DE UMA LINHA REFERENTE A OUTRO NÍVEL DE AVALIAÇÃO.
Para maior conforto, </t>
        </r>
        <r>
          <rPr>
            <b/>
            <sz val="10"/>
            <color indexed="81"/>
            <rFont val="Arial"/>
            <family val="2"/>
          </rPr>
          <t xml:space="preserve">DESABILITAR PREENCHIMENTO AUTOMÁTICO PARA VALORES DE CÉLULA </t>
        </r>
        <r>
          <rPr>
            <sz val="10"/>
            <color indexed="81"/>
            <rFont val="Arial"/>
            <family val="2"/>
          </rPr>
          <t>em 'Arquivo' , 'Opções', 'Avançado' cancelar sugestão de valor.</t>
        </r>
      </text>
    </comment>
    <comment ref="G2" authorId="0" shapeId="0" xr:uid="{70BA8356-2F45-43B6-A15D-6B7E6B8DBB4E}">
      <text>
        <r>
          <rPr>
            <sz val="10"/>
            <color indexed="81"/>
            <rFont val="Arial"/>
            <family val="2"/>
          </rPr>
          <t xml:space="preserve">Preencher SOMENTE para justificar porque 
1) toda exigência de PG ou LV não é aplicável, avaliando com "NA", ou 
2) porque é apenas parcialmente aplicável, avaliando com "P". 
SE CÉLULA ESTIVER EM CINZA É PORQUE NÃO É OBRIGATÓRIA PARA A SITUAÇÃO INFORMADA NA COLULA "LV" ("NA" OU "N") 
SE CÉLULA ESTIVER EM AZUL É PORQUE É OBRIGATÓRIA PARA A SITUAÇÃO INFORMADA NA COLULA "LV"  ("NA") E ESTÁ VAZIA.
SE A CÉLULA ESTIVER ROSA É PORQUE NÃO PRECISA SER PREENCHIDA PARA A SITUAÇÃO INFORMADA NA COLULA "LV"  ("S" OU "N") E FOI PREENCHIDA.
</t>
        </r>
      </text>
    </comment>
    <comment ref="I2" authorId="0" shapeId="0" xr:uid="{E44A9E5C-E74B-456E-9CBD-2CED38EAB1A9}">
      <text>
        <r>
          <rPr>
            <sz val="10"/>
            <color indexed="81"/>
            <rFont val="Tahoma"/>
            <family val="2"/>
          </rPr>
          <t xml:space="preserve">PARA USO DO EXAMINADOR 
</t>
        </r>
        <r>
          <rPr>
            <b/>
            <sz val="10"/>
            <color indexed="81"/>
            <rFont val="Tahoma"/>
            <family val="2"/>
          </rPr>
          <t>Na linha de PG:</t>
        </r>
        <r>
          <rPr>
            <sz val="10"/>
            <color indexed="81"/>
            <rFont val="Tahoma"/>
            <family val="2"/>
          </rPr>
          <t xml:space="preserve">
"N" Não há processo. Zerar todo os fatores e comentar "Falta processo gerencial de &lt;nome do processo&gt;" na coluna Comentário.
 "P" Atendimento parcial. Avaliar os fatores e deixar fator '</t>
        </r>
        <r>
          <rPr>
            <b/>
            <sz val="10"/>
            <color indexed="81"/>
            <rFont val="Tahoma"/>
            <family val="2"/>
          </rPr>
          <t>Abr</t>
        </r>
        <r>
          <rPr>
            <sz val="10"/>
            <color indexed="81"/>
            <rFont val="Tahoma"/>
            <family val="2"/>
          </rPr>
          <t xml:space="preserve">' entre 1 e 3. Comentar a(s) lacuna(s) na coluna Comentário. 
</t>
        </r>
        <r>
          <rPr>
            <i/>
            <sz val="10"/>
            <color indexed="81"/>
            <rFont val="Tahoma"/>
            <family val="2"/>
          </rPr>
          <t xml:space="preserve">Obs: O preenchimento dessa coluna para "PG" não é obrigatório. O cálculo se baseia nos graus dos fatores. </t>
        </r>
        <r>
          <rPr>
            <sz val="10"/>
            <color indexed="81"/>
            <rFont val="Tahoma"/>
            <family val="2"/>
          </rPr>
          <t xml:space="preserve">
</t>
        </r>
        <r>
          <rPr>
            <b/>
            <sz val="10"/>
            <color indexed="81"/>
            <rFont val="Tahoma"/>
            <family val="2"/>
          </rPr>
          <t xml:space="preserve">Na linha de LV:
</t>
        </r>
        <r>
          <rPr>
            <i/>
            <sz val="10"/>
            <color indexed="81"/>
            <rFont val="Tahoma"/>
            <family val="2"/>
          </rPr>
          <t>vazio</t>
        </r>
        <r>
          <rPr>
            <sz val="10"/>
            <color indexed="81"/>
            <rFont val="Tahoma"/>
            <family val="2"/>
          </rPr>
          <t xml:space="preserve">, se concordar com a opção dada pela organização na coluna "LV". Se for "N" preferencialmente repetir "N" para indicar necessidade de comentário. 
"S" Exigência integralmente atendida, Justificativa de não aplicabilidade aceita ou Justificativa de parte não atendida aceita
"P" Exigência parcialmente atendida ou parcialmente não atendida. Comentar a parte não atendida na coluna Comentário. Duas parcialmente atendidas conta como uma atendida. 
"N" Exigência não atendida. Comentar resumidamente a exigência não atendida na coluna Comentário.
</t>
        </r>
      </text>
    </comment>
    <comment ref="J2" authorId="0" shapeId="0" xr:uid="{443264E1-5056-4607-B5D2-805FF894CC1A}">
      <text>
        <r>
          <rPr>
            <sz val="9"/>
            <color indexed="81"/>
            <rFont val="Arial"/>
            <family val="2"/>
          </rPr>
          <t>Esta coluna mostra a qtde de caracteres informados da célula 'Evidência' para exigências de LV.</t>
        </r>
      </text>
    </comment>
    <comment ref="K2" authorId="0" shapeId="0" xr:uid="{49BB928B-A941-499F-B974-AC0C6F6EA2FE}">
      <text>
        <r>
          <rPr>
            <b/>
            <sz val="10"/>
            <color indexed="81"/>
            <rFont val="Arial"/>
            <family val="2"/>
          </rPr>
          <t>Na linha de PG</t>
        </r>
        <r>
          <rPr>
            <sz val="10"/>
            <color indexed="81"/>
            <rFont val="Arial"/>
            <family val="2"/>
          </rPr>
          <t xml:space="preserve">, pode ser usado para anotações sobre o PG, que será redigido no SG (Sumário de Gestão) no caso de uma candidatura, quando a opção na coluna LV for "S" ou "P".
</t>
        </r>
        <r>
          <rPr>
            <b/>
            <sz val="10"/>
            <color indexed="81"/>
            <rFont val="Arial"/>
            <family val="2"/>
          </rPr>
          <t xml:space="preserve"> 
Na linha de exigência da LV </t>
        </r>
        <r>
          <rPr>
            <sz val="10"/>
            <color indexed="81"/>
            <rFont val="Arial"/>
            <family val="2"/>
          </rPr>
          <t xml:space="preserve">(coluna 'Cód' tem o número da exigência), deve sintetizar o mecanismo ou forma de atendimento objetivamente, quando a opção na coluna LV for "S" ou "P". 
Há um limite de caracteres estabelecido no rodapé da aba Capa, no caso de candidaturas, a fim de equalizar a quantidade de informação fornecida pelas candidatas e para agilizar a análise pelo examinador. SE A CÉLULA ESTIVER ROSA É PORQUE O LIMITE DE CARACTERES  FOI ULTRAPASSADO.
SE CÉLULA ESTIVER EM AZUL É PORQUE É OBRIGATÓRIA PARA A SITUAÇÃO INFORMADA NA COLULA "LV"  ("S" OU "P") E ESTÁ VAZIA.
SE CÉLULA ESTIVER EM CINZA É PORQUE NÃO É OBRIGATÓRIA PARA A SITUAÇÃO INFORMADA NA COLULA "LV" ("NA" OU "N") 
</t>
        </r>
        <r>
          <rPr>
            <b/>
            <sz val="10"/>
            <color indexed="81"/>
            <rFont val="Arial"/>
            <family val="2"/>
          </rPr>
          <t xml:space="preserve">
Exemplos linha PG:</t>
        </r>
        <r>
          <rPr>
            <sz val="10"/>
            <color indexed="81"/>
            <rFont val="Arial"/>
            <family val="2"/>
          </rPr>
          <t xml:space="preserve">
Sistemáticas de captação de sugestões da pesquisa inicial ciclo PE, de análise de ocorrências Ouvidoria, análise advertências/demissões, análise de propostas do Conselho. 
</t>
        </r>
        <r>
          <rPr>
            <b/>
            <sz val="10"/>
            <color indexed="81"/>
            <rFont val="Arial"/>
            <family val="2"/>
          </rPr>
          <t xml:space="preserve">Exemplos linha LV: </t>
        </r>
        <r>
          <rPr>
            <sz val="10"/>
            <color indexed="81"/>
            <rFont val="Arial"/>
            <family val="2"/>
          </rPr>
          <t xml:space="preserve">
"Incluída questão específica na pesquisa de Clima, que permite avaliar o tema", 
"Requisitos da Agência reguladora são tratados permanentemente por time da área de Regulação, que revisa o cj de indicadores".</t>
        </r>
      </text>
    </comment>
    <comment ref="M2" authorId="0" shapeId="0" xr:uid="{324FC05B-FBBF-4F1A-9D1F-74E793986B43}">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N2" authorId="0" shapeId="0" xr:uid="{1955F8D2-4AD4-485C-B2EC-B2F0967B230A}">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O2" authorId="0" shapeId="0" xr:uid="{3B3A9373-8FF9-4ED7-91BF-40D6E6DDC477}">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P2" authorId="0" shapeId="0" xr:uid="{C145A745-0831-47E5-922C-54105F777A20}">
      <text>
        <r>
          <rPr>
            <sz val="9"/>
            <color indexed="81"/>
            <rFont val="Segoe UI"/>
            <family val="2"/>
          </rPr>
          <t>PGs com apoio de IA?
0 Não
1 Sim</t>
        </r>
      </text>
    </comment>
    <comment ref="Q2" authorId="0" shapeId="0" xr:uid="{EA41E296-17BE-459C-B6C4-FDC72E4CCECF}">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R2" authorId="0" shapeId="0" xr:uid="{FD029FD9-1DFC-4E2B-A012-15A873BC52A6}">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S2" authorId="0" shapeId="0" xr:uid="{1A41E2E6-7BD0-4BCB-8D07-B1CA2BE4FF5C}">
      <text>
        <r>
          <rPr>
            <b/>
            <sz val="10"/>
            <color indexed="81"/>
            <rFont val="Tahoma"/>
            <family val="2"/>
          </rPr>
          <t>O processo foi aperfeiçoado ou incorporou inovação.</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T2" authorId="0" shapeId="0" xr:uid="{43B9B326-26B6-4B7D-B10C-FCD74ADC7F28}">
      <text>
        <r>
          <rPr>
            <sz val="9"/>
            <color indexed="81"/>
            <rFont val="Segoe UI"/>
            <family val="2"/>
          </rPr>
          <t>PGs com característica original, inusitada ou incomum no setor?
0 Não
1 Sim</t>
        </r>
      </text>
    </comment>
    <comment ref="V2" authorId="0" shapeId="0" xr:uid="{E94B8A73-E819-4150-8454-D7BCA4C15C03}">
      <text>
        <r>
          <rPr>
            <sz val="10"/>
            <color indexed="81"/>
            <rFont val="Tahoma"/>
            <family val="2"/>
          </rPr>
          <t xml:space="preserve">Coluna reservada para o avaliador ou examinador registrar as lacunas ou pontos fortes (PF) do PG/LV, de acordo com o grau atribuído, e para resumir a avaliação do Critério. Só comentar PF se não tiver lacuna no PG.
SE CÉLULA ESTIVER EM AZUL É PORQUE UM COMENTÁRIO É OBRIGATÓRIO E ESTÁ VAZIA.
Preferencialemente, usar '&lt;alt&gt;Enter' para mudar de linha dentro da célula ao comentar novo Fator do PG. </t>
        </r>
      </text>
    </comment>
    <comment ref="Y2" authorId="0" shapeId="0" xr:uid="{4E1EC3F5-965D-4357-96D2-EDE311B9648C}">
      <text>
        <r>
          <rPr>
            <sz val="10"/>
            <color indexed="81"/>
            <rFont val="Arial"/>
            <family val="2"/>
          </rPr>
          <t>Ponto de verificação
A confirmar ou esclarecer na visita. Descreva a(s) pergunta(s) a ser(em) feitas.</t>
        </r>
      </text>
    </comment>
    <comment ref="Z2" authorId="0" shapeId="0" xr:uid="{70852845-0AA3-47A4-BBBC-CD58E83DB1B1}">
      <text>
        <r>
          <rPr>
            <sz val="9"/>
            <color indexed="81"/>
            <rFont val="Segoe UI"/>
            <family val="2"/>
          </rPr>
          <t xml:space="preserve">Buscar Nomes/Cargos no Organograma ou Redes Internas  do Perfil. </t>
        </r>
      </text>
    </comment>
    <comment ref="AA2" authorId="0" shapeId="0" xr:uid="{C7845E27-D891-498A-93C1-263A8ADC3B06}">
      <text>
        <r>
          <rPr>
            <sz val="9"/>
            <color indexed="81"/>
            <rFont val="Segoe UI"/>
            <family val="2"/>
          </rPr>
          <t xml:space="preserve">Buscar Nomes/Cargos no Organograma ou Redes Internas  do Perfil. </t>
        </r>
      </text>
    </comment>
    <comment ref="AB2" authorId="0" shapeId="0" xr:uid="{866E9C78-49E6-4EAF-A138-A0C4CBEAAD41}">
      <text>
        <r>
          <rPr>
            <sz val="9"/>
            <color indexed="81"/>
            <rFont val="Segoe UI"/>
            <family val="2"/>
          </rPr>
          <t xml:space="preserve">Buscar Nomes/Cargos no Organograma ou Redes Internas  do Perfil. </t>
        </r>
      </text>
    </comment>
    <comment ref="E3" authorId="0" shapeId="0" xr:uid="{39C57AD1-9C20-4F49-93FE-A6F2EB8EB5C6}">
      <text>
        <r>
          <rPr>
            <sz val="10"/>
            <color indexed="81"/>
            <rFont val="Tahoma"/>
            <family val="2"/>
          </rPr>
          <t>BARRA DE PROGRESSO DO CRITÉRIO
PGs e Exigências da LV respondidas.</t>
        </r>
      </text>
    </comment>
    <comment ref="M3" authorId="0" shapeId="0" xr:uid="{00000000-0006-0000-0700-000011000000}">
      <text>
        <r>
          <rPr>
            <sz val="10"/>
            <color indexed="81"/>
            <rFont val="Arial"/>
            <family val="2"/>
          </rPr>
          <t>% Médio + Bônus. 
Para Níveis B e 1, a média é aritmética entre os Itens.
Para Níveis II e III, a média é ponderada pelas pontuações máximas de cada Item conforme aba Quadro Geral.
Nos Niveis II e III, a qtde de PGs com IA ou Inovação podem bonificar para além da média neste Critério: 
*Nv II com uma IA ou Nv III com + de uma,, bônus 5p.p.
*Nv III com uma IA, bônus 2p.p.
*Nv II com uma inovação ou Nv III com + de uma, bônus 5p.p.
*Nv III com uma inovação bônus 2p.p.
Nos Níveis B e I, a bonificação é computada somente no Critério (aba) 5, analogamente.</t>
        </r>
      </text>
    </comment>
    <comment ref="F4" authorId="0" shapeId="0" xr:uid="{5E59A7A0-6E85-46F6-8BEE-68BDD043274D}">
      <text>
        <r>
          <rPr>
            <sz val="10"/>
            <color indexed="81"/>
            <rFont val="Arial"/>
            <family val="2"/>
          </rPr>
          <t>Percentual de Exigências da LV respondidas no Critério</t>
        </r>
      </text>
    </comment>
    <comment ref="I4" authorId="0" shapeId="0" xr:uid="{81A3AC81-543D-453E-ABBE-37B307A84CED}">
      <text>
        <r>
          <rPr>
            <sz val="10"/>
            <color indexed="81"/>
            <rFont val="Arial"/>
            <family val="2"/>
          </rPr>
          <t>Percentual atendimento médio da LV do Critério.
Atendimento parcial contado como 50% do atendimento.</t>
        </r>
      </text>
    </comment>
    <comment ref="P4" authorId="0" shapeId="0" xr:uid="{0A63A53E-933A-4300-92F4-4F8F04666636}">
      <text>
        <r>
          <rPr>
            <sz val="9"/>
            <color indexed="81"/>
            <rFont val="Segoe UI"/>
            <family val="2"/>
          </rPr>
          <t>Qtd de PGs apoiados por I.A. no Critério</t>
        </r>
      </text>
    </comment>
    <comment ref="T4" authorId="0" shapeId="0" xr:uid="{95EB2B7D-4F7C-4128-8B1D-ECBE5F8FBFEA}">
      <text>
        <r>
          <rPr>
            <sz val="9"/>
            <color indexed="81"/>
            <rFont val="Segoe UI"/>
            <family val="2"/>
          </rPr>
          <t>Qtd de PGs com inovação</t>
        </r>
      </text>
    </comment>
    <comment ref="F7" authorId="0" shapeId="0" xr:uid="{9DCC53DF-713B-40B9-A005-30E8E56E115F}">
      <text>
        <r>
          <rPr>
            <sz val="10"/>
            <color indexed="81"/>
            <rFont val="Arial"/>
            <family val="2"/>
          </rPr>
          <t>Percentual de exigências da LV respondidas no Item</t>
        </r>
      </text>
    </comment>
    <comment ref="I7" authorId="0" shapeId="0" xr:uid="{5594E8F2-D4F7-4299-8636-E63B5D8E385D}">
      <text>
        <r>
          <rPr>
            <sz val="10"/>
            <color indexed="81"/>
            <rFont val="Arial"/>
            <family val="2"/>
          </rPr>
          <t>Percentual atendimento médio da LV do Item.
Atendimento parcial contado como 50% do atendimento.</t>
        </r>
      </text>
    </comment>
    <comment ref="E8" authorId="0" shapeId="0" xr:uid="{B29CFE72-7F71-46F3-8144-88D58D92383B}">
      <text>
        <r>
          <rPr>
            <sz val="10"/>
            <color indexed="81"/>
            <rFont val="Tahoma"/>
            <family val="2"/>
          </rPr>
          <t>BARRA DE PROGRESSO DO ÍTEM
PGs e Exigências da LV respondidas.</t>
        </r>
      </text>
    </comment>
    <comment ref="P8" authorId="0" shapeId="0" xr:uid="{72F44AEB-F6B7-470E-8531-73B5B17C8145}">
      <text>
        <r>
          <rPr>
            <sz val="9"/>
            <color indexed="81"/>
            <rFont val="Segoe UI"/>
            <family val="2"/>
          </rPr>
          <t>Qtd de PGs apoiados por I.A. no Item</t>
        </r>
      </text>
    </comment>
    <comment ref="T8" authorId="0" shapeId="0" xr:uid="{D067B993-A920-4933-AADB-FA862880164F}">
      <text>
        <r>
          <rPr>
            <sz val="9"/>
            <color indexed="81"/>
            <rFont val="Segoe UI"/>
            <family val="2"/>
          </rPr>
          <t>Qtd de PGs com inovação</t>
        </r>
      </text>
    </comment>
    <comment ref="L9" authorId="0" shapeId="0" xr:uid="{64E7D56E-D665-4084-8FB0-FD8C724BCE44}">
      <text>
        <r>
          <rPr>
            <sz val="10"/>
            <color indexed="81"/>
            <rFont val="Arial"/>
            <family val="2"/>
          </rPr>
          <t>% de atendimento médio da LV do PG</t>
        </r>
      </text>
    </comment>
    <comment ref="Q9" authorId="0" shapeId="0" xr:uid="{75330BED-0B6B-4005-AD3C-96FF9BD65BFA}">
      <text>
        <r>
          <rPr>
            <sz val="10"/>
            <color indexed="81"/>
            <rFont val="Arial"/>
            <family val="2"/>
          </rPr>
          <t>Grau de Abrangência considerando o limite determinado pelo % de atendimento médio da LV do PG</t>
        </r>
      </text>
    </comment>
    <comment ref="L17" authorId="0" shapeId="0" xr:uid="{A11328CB-E469-480F-8B72-E4CC81A67297}">
      <text>
        <r>
          <rPr>
            <sz val="10"/>
            <color indexed="81"/>
            <rFont val="Arial"/>
            <family val="2"/>
          </rPr>
          <t>% de atendimento médio da LV do PG</t>
        </r>
      </text>
    </comment>
    <comment ref="Q17" authorId="0" shapeId="0" xr:uid="{306AAB08-7ED2-4A74-9211-12C154056D24}">
      <text>
        <r>
          <rPr>
            <sz val="10"/>
            <color indexed="81"/>
            <rFont val="Arial"/>
            <family val="2"/>
          </rPr>
          <t>Grau de Abrangência considerando o limite determinado pelo % de atendimento médio da LV do PG</t>
        </r>
      </text>
    </comment>
    <comment ref="L53" authorId="0" shapeId="0" xr:uid="{2C7B4391-B3C0-4FA8-A0E0-5891314F77D2}">
      <text>
        <r>
          <rPr>
            <sz val="10"/>
            <color indexed="81"/>
            <rFont val="Arial"/>
            <family val="2"/>
          </rPr>
          <t>% de atendimento médio da LV do PG</t>
        </r>
      </text>
    </comment>
    <comment ref="Q53" authorId="0" shapeId="0" xr:uid="{0452751D-4923-44C5-946F-C224915737F5}">
      <text>
        <r>
          <rPr>
            <sz val="10"/>
            <color indexed="81"/>
            <rFont val="Arial"/>
            <family val="2"/>
          </rPr>
          <t>Grau de Abrangência considerando o limite determinado pelo % de atendimento médio da LV do PG</t>
        </r>
      </text>
    </comment>
    <comment ref="L71" authorId="0" shapeId="0" xr:uid="{19A617AF-8D43-49EC-AAC5-1550DBCB5A17}">
      <text>
        <r>
          <rPr>
            <sz val="10"/>
            <color indexed="81"/>
            <rFont val="Arial"/>
            <family val="2"/>
          </rPr>
          <t>% de atendimento médio da LV do PG</t>
        </r>
      </text>
    </comment>
    <comment ref="Q71" authorId="0" shapeId="0" xr:uid="{54DC9D29-A2A1-4C59-9F98-BBD18D2E28CD}">
      <text>
        <r>
          <rPr>
            <sz val="10"/>
            <color indexed="81"/>
            <rFont val="Arial"/>
            <family val="2"/>
          </rPr>
          <t>Grau de Abrangência considerando o limite determinado pelo % de atendimento médio da LV do PG</t>
        </r>
      </text>
    </comment>
    <comment ref="F91" authorId="0" shapeId="0" xr:uid="{5A74DC40-80AE-4A7E-828F-C20F3970B417}">
      <text>
        <r>
          <rPr>
            <sz val="10"/>
            <color indexed="81"/>
            <rFont val="Arial"/>
            <family val="2"/>
          </rPr>
          <t>Percentual de exigências da LV respondidas no Item</t>
        </r>
      </text>
    </comment>
    <comment ref="I91" authorId="0" shapeId="0" xr:uid="{7CD7798A-304A-45B3-BC67-13A8C4C23614}">
      <text>
        <r>
          <rPr>
            <sz val="10"/>
            <color indexed="81"/>
            <rFont val="Arial"/>
            <family val="2"/>
          </rPr>
          <t>Percentual atendimento médio da LV do Item.
Atendimento parcial contado como 50% do atendimento.</t>
        </r>
      </text>
    </comment>
    <comment ref="E92" authorId="0" shapeId="0" xr:uid="{49508668-BC65-4C4F-A4AD-7EA86AED3B20}">
      <text>
        <r>
          <rPr>
            <sz val="10"/>
            <color indexed="81"/>
            <rFont val="Tahoma"/>
            <family val="2"/>
          </rPr>
          <t>BARRA DE PROGRESSO DO ÍTEM
PGs e Exigências da LV respondidas.</t>
        </r>
      </text>
    </comment>
    <comment ref="P92" authorId="0" shapeId="0" xr:uid="{C77228DF-8003-408C-B619-65A1A5F60B30}">
      <text>
        <r>
          <rPr>
            <sz val="9"/>
            <color indexed="81"/>
            <rFont val="Segoe UI"/>
            <family val="2"/>
          </rPr>
          <t>Qtd de PGs apoiados por I.A. no Item</t>
        </r>
      </text>
    </comment>
    <comment ref="T92" authorId="0" shapeId="0" xr:uid="{09035D02-B8A2-49E0-9371-C321C987CB60}">
      <text>
        <r>
          <rPr>
            <sz val="9"/>
            <color indexed="81"/>
            <rFont val="Segoe UI"/>
            <family val="2"/>
          </rPr>
          <t>Qtd de PGs com inovação</t>
        </r>
      </text>
    </comment>
    <comment ref="L93" authorId="0" shapeId="0" xr:uid="{69925E89-0C23-4982-B817-50CCAF24985F}">
      <text>
        <r>
          <rPr>
            <sz val="10"/>
            <color indexed="81"/>
            <rFont val="Arial"/>
            <family val="2"/>
          </rPr>
          <t>% de atendimento médio da LV do PG</t>
        </r>
      </text>
    </comment>
    <comment ref="Q93" authorId="0" shapeId="0" xr:uid="{DA3709AC-B48F-45BD-8136-00EE782FE19A}">
      <text>
        <r>
          <rPr>
            <sz val="10"/>
            <color indexed="81"/>
            <rFont val="Arial"/>
            <family val="2"/>
          </rPr>
          <t>Grau de Abrangência considerando o limite determinado pelo % de atendimento médio da LV do PG</t>
        </r>
      </text>
    </comment>
    <comment ref="L109" authorId="0" shapeId="0" xr:uid="{10EF08FD-C8EB-4782-89B3-30684E4EFB95}">
      <text>
        <r>
          <rPr>
            <sz val="10"/>
            <color indexed="81"/>
            <rFont val="Arial"/>
            <family val="2"/>
          </rPr>
          <t>% de atendimento médio da LV do PG</t>
        </r>
      </text>
    </comment>
    <comment ref="Q109" authorId="0" shapeId="0" xr:uid="{2CE99239-243B-4293-B42A-7BABA53C2261}">
      <text>
        <r>
          <rPr>
            <sz val="10"/>
            <color indexed="81"/>
            <rFont val="Arial"/>
            <family val="2"/>
          </rPr>
          <t>Grau de Abrangência considerando o limite determinado pelo % de atendimento médio da LV do PG</t>
        </r>
      </text>
    </comment>
    <comment ref="L130" authorId="0" shapeId="0" xr:uid="{57DE90D3-7832-4CA9-9FFF-1B96CA81DCAF}">
      <text>
        <r>
          <rPr>
            <sz val="10"/>
            <color indexed="81"/>
            <rFont val="Arial"/>
            <family val="2"/>
          </rPr>
          <t>% de atendimento médio da LV do PG</t>
        </r>
      </text>
    </comment>
    <comment ref="Q130" authorId="0" shapeId="0" xr:uid="{A002556D-37D1-477E-95D5-62956DBBD1B1}">
      <text>
        <r>
          <rPr>
            <sz val="10"/>
            <color indexed="81"/>
            <rFont val="Arial"/>
            <family val="2"/>
          </rPr>
          <t>Grau de Abrangência considerando o limite determinado pelo % de atendimento médio da LV do PG</t>
        </r>
      </text>
    </comment>
    <comment ref="L143" authorId="0" shapeId="0" xr:uid="{95D9AB37-4F27-4D91-A82E-8EB35D38978F}">
      <text>
        <r>
          <rPr>
            <sz val="10"/>
            <color indexed="81"/>
            <rFont val="Arial"/>
            <family val="2"/>
          </rPr>
          <t>% de atendimento médio da LV do PG</t>
        </r>
      </text>
    </comment>
    <comment ref="Q143" authorId="0" shapeId="0" xr:uid="{34A2649E-4CC8-42F6-95D6-8289195D1B65}">
      <text>
        <r>
          <rPr>
            <sz val="10"/>
            <color indexed="81"/>
            <rFont val="Arial"/>
            <family val="2"/>
          </rPr>
          <t>Grau de Abrangência considerando o limite determinado pelo % de atendimento médio da LV do PG</t>
        </r>
      </text>
    </comment>
    <comment ref="F158" authorId="0" shapeId="0" xr:uid="{DB67C7D5-5648-4745-96A6-AF763EF427D4}">
      <text>
        <r>
          <rPr>
            <sz val="10"/>
            <color indexed="81"/>
            <rFont val="Arial"/>
            <family val="2"/>
          </rPr>
          <t>Percentual de exigências da LV respondidas no Item</t>
        </r>
      </text>
    </comment>
    <comment ref="I158" authorId="0" shapeId="0" xr:uid="{A40EA796-2FCF-4C21-8229-A2B44496066E}">
      <text>
        <r>
          <rPr>
            <sz val="10"/>
            <color indexed="81"/>
            <rFont val="Arial"/>
            <family val="2"/>
          </rPr>
          <t>Percentual atendimento médio da LV do Item.
Atendimento parcial contado como 50% do atendimento.</t>
        </r>
      </text>
    </comment>
    <comment ref="E159" authorId="0" shapeId="0" xr:uid="{7A21CE62-CE69-4AD0-B6CF-E4EB644BA7E4}">
      <text>
        <r>
          <rPr>
            <sz val="10"/>
            <color indexed="81"/>
            <rFont val="Tahoma"/>
            <family val="2"/>
          </rPr>
          <t>BARRA DE PROGRESSO DO ÍTEM
PGs e Exigências da LV respondidas.</t>
        </r>
      </text>
    </comment>
    <comment ref="P159" authorId="0" shapeId="0" xr:uid="{62FE8E15-8485-4282-8866-2F53DAAF00AB}">
      <text>
        <r>
          <rPr>
            <sz val="9"/>
            <color indexed="81"/>
            <rFont val="Segoe UI"/>
            <family val="2"/>
          </rPr>
          <t>Qtd de PGs apoiados por I.A. no Item</t>
        </r>
      </text>
    </comment>
    <comment ref="T159" authorId="0" shapeId="0" xr:uid="{50D0F085-E1E2-4616-AD9F-95905CCD006D}">
      <text>
        <r>
          <rPr>
            <sz val="9"/>
            <color indexed="81"/>
            <rFont val="Segoe UI"/>
            <family val="2"/>
          </rPr>
          <t>Qtd de PGs com inovação</t>
        </r>
      </text>
    </comment>
    <comment ref="L160" authorId="0" shapeId="0" xr:uid="{47FBD2C8-8902-4A3D-8310-E16F33B1722F}">
      <text>
        <r>
          <rPr>
            <sz val="10"/>
            <color indexed="81"/>
            <rFont val="Arial"/>
            <family val="2"/>
          </rPr>
          <t>% de atendimento médio da LV do PG</t>
        </r>
      </text>
    </comment>
    <comment ref="Q160" authorId="0" shapeId="0" xr:uid="{7D01E33C-C63F-4376-A797-69CAA5EAA77E}">
      <text>
        <r>
          <rPr>
            <sz val="10"/>
            <color indexed="81"/>
            <rFont val="Arial"/>
            <family val="2"/>
          </rPr>
          <t>Grau de Abrangência considerando o limite determinado pelo % de atendimento médio da LV do PG</t>
        </r>
      </text>
    </comment>
    <comment ref="L174" authorId="0" shapeId="0" xr:uid="{8A13DA00-140B-4733-B023-52004521AA8F}">
      <text>
        <r>
          <rPr>
            <sz val="10"/>
            <color indexed="81"/>
            <rFont val="Arial"/>
            <family val="2"/>
          </rPr>
          <t>% de atendimento médio da LV do PG</t>
        </r>
      </text>
    </comment>
    <comment ref="Q174" authorId="0" shapeId="0" xr:uid="{85F3C83D-DD0B-488E-9DB0-06B9DD221CED}">
      <text>
        <r>
          <rPr>
            <sz val="10"/>
            <color indexed="81"/>
            <rFont val="Arial"/>
            <family val="2"/>
          </rPr>
          <t>Grau de Abrangência considerando o limite determinado pelo % de atendimento médio da LV do PG</t>
        </r>
      </text>
    </comment>
    <comment ref="L188" authorId="0" shapeId="0" xr:uid="{CE713A8E-6C46-415F-9487-2A0A3AC8EF2D}">
      <text>
        <r>
          <rPr>
            <sz val="10"/>
            <color indexed="81"/>
            <rFont val="Arial"/>
            <family val="2"/>
          </rPr>
          <t>% de atendimento médio da LV do PG</t>
        </r>
      </text>
    </comment>
    <comment ref="Q188" authorId="0" shapeId="0" xr:uid="{79F47684-35F4-4226-9369-C48104810D55}">
      <text>
        <r>
          <rPr>
            <sz val="10"/>
            <color indexed="81"/>
            <rFont val="Arial"/>
            <family val="2"/>
          </rPr>
          <t>Grau de Abrangência considerando o limite determinado pelo % de atendimento médio da LV do PG</t>
        </r>
      </text>
    </comment>
    <comment ref="L202" authorId="0" shapeId="0" xr:uid="{7D9D6CC3-78FD-45BB-B81B-22A4CEAE420B}">
      <text>
        <r>
          <rPr>
            <sz val="10"/>
            <color indexed="81"/>
            <rFont val="Arial"/>
            <family val="2"/>
          </rPr>
          <t>% de atendimento médio da LV do PG</t>
        </r>
      </text>
    </comment>
    <comment ref="Q202" authorId="0" shapeId="0" xr:uid="{6F2F0BDC-5F83-420D-A5D5-0E26C70FC1A0}">
      <text>
        <r>
          <rPr>
            <sz val="10"/>
            <color indexed="81"/>
            <rFont val="Arial"/>
            <family val="2"/>
          </rPr>
          <t>Grau de Abrangência considerando o limite determinado pelo % de atendimento médio da LV do PG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2683B74A-0308-4648-BFF8-E8EBAA8074DD}">
      <text>
        <r>
          <rPr>
            <b/>
            <sz val="9"/>
            <color indexed="81"/>
            <rFont val="Tahoma"/>
            <family val="2"/>
          </rPr>
          <t xml:space="preserve">O sistema de pontuação é automático com base nos fatores avaliados em Evolução, Competitividade e Compromisso.
</t>
        </r>
      </text>
    </comment>
    <comment ref="A4" authorId="1" shapeId="0" xr:uid="{166A4B28-90C1-4A66-98EF-E8FE49C07280}">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658EA478-6DF8-48BE-880F-C6FF80B1C5B6}">
      <text>
        <r>
          <rPr>
            <b/>
            <sz val="10"/>
            <color indexed="81"/>
            <rFont val="Tahoma"/>
            <family val="2"/>
          </rPr>
          <t>BARRA DE PROGRESSO DO ITEM
Calculado com base nos fatores exigíveis para o Tipo de indicador.</t>
        </r>
      </text>
    </comment>
    <comment ref="G4" authorId="0" shapeId="0" xr:uid="{C4C76401-B0C8-4946-97FE-92846F0F3D46}">
      <text>
        <r>
          <rPr>
            <sz val="10"/>
            <color indexed="81"/>
            <rFont val="Tahoma"/>
            <family val="2"/>
          </rPr>
          <t>Refere-se à demonstração de melhoria do desempenho ou estabilização em bom nível.</t>
        </r>
      </text>
    </comment>
    <comment ref="J4" authorId="0" shapeId="0" xr:uid="{0EB52A36-9F43-40F7-8266-4C065FECD91F}">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D9DFB269-F764-45B2-9DA6-9E249D4E380B}">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9B000F99-5B17-4732-9F0D-1942B781F686}">
      <text>
        <r>
          <rPr>
            <sz val="10"/>
            <color indexed="81"/>
            <rFont val="Tahoma"/>
            <family val="2"/>
          </rPr>
          <t xml:space="preserve">Refere-se ao potencial de alcance de metas futuras para os resultados do negócio (N) ou estratégicos (E),
justificado por meio de estudos, projeções ou avaliações realizadas pela organização.
</t>
        </r>
      </text>
    </comment>
    <comment ref="C6" authorId="0" shapeId="0" xr:uid="{FF8FF11C-A6B5-4571-AD39-937906A48CF4}">
      <text>
        <r>
          <rPr>
            <sz val="10"/>
            <color indexed="81"/>
            <rFont val="Tahoma"/>
            <family val="2"/>
          </rPr>
          <t>Uso livre. Opcionalmente, informar nesta coluna a área  responsável.</t>
        </r>
      </text>
    </comment>
    <comment ref="D6" authorId="0" shapeId="0" xr:uid="{1F9FE343-CFE9-4E2D-A4A9-01A279D9F3F8}">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A9772374-59F9-4F64-9A8F-7ECBFAEBBD3E}">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5F974689-6C3F-457E-B633-5EC08552FE83}">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1D7D85AA-FCEF-4425-8F67-D27BFCE08435}">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EDDE783E-CE6E-4CA7-A508-F2B070D7A72A}">
      <text>
        <r>
          <rPr>
            <b/>
            <sz val="10"/>
            <color indexed="81"/>
            <rFont val="Tahoma"/>
            <family val="2"/>
          </rPr>
          <t>% parcial EVOLUÇÃO</t>
        </r>
      </text>
    </comment>
    <comment ref="J6" authorId="0" shapeId="0" xr:uid="{10E800FF-C6B8-4A19-A25C-3BC9B9C97350}">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A5A8A8B3-44C6-4448-80B0-38D6CF046C1B}">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8AA56AA0-1F9C-4047-8ADC-AF3D975C8241}">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FE935C73-0B9D-4FEC-A4B8-A04601F3F027}">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7F5925A9-8AF9-476F-A5AC-D96BF50A1FBB}">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4973C27A-27A0-4332-A381-5FE461CDC428}">
      <text>
        <r>
          <rPr>
            <b/>
            <sz val="9"/>
            <color indexed="81"/>
            <rFont val="Tahoma"/>
            <family val="2"/>
          </rPr>
          <t>% parcial COMPETITIVIDADE</t>
        </r>
      </text>
    </comment>
    <comment ref="P6" authorId="0" shapeId="0" xr:uid="{290D42DD-77C8-4C95-9C87-F50831C91759}">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24F51162-E687-4577-98FE-69D92F13786C}">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EBF8D4A5-00E9-474C-B182-9BF801D19094}">
      <text>
        <r>
          <rPr>
            <sz val="10"/>
            <color indexed="81"/>
            <rFont val="Tahoma"/>
            <family val="2"/>
          </rPr>
          <t>Informar o nome ou sigla que identifica a(s) parte(s)  interessada(s) no resultado.</t>
        </r>
      </text>
    </comment>
    <comment ref="S6" authorId="0" shapeId="0" xr:uid="{81FBAEB7-A5CE-4502-8378-DCFF8399A9CB}">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F42AD6C4-4AEE-4976-A0D0-61711531705C}">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132B66BF-2FF4-444D-B4CC-E22EDC6F2E43}">
      <text>
        <r>
          <rPr>
            <b/>
            <sz val="9"/>
            <color indexed="81"/>
            <rFont val="Tahoma"/>
            <family val="2"/>
          </rPr>
          <t>% parcial COMPROMISSO</t>
        </r>
        <r>
          <rPr>
            <sz val="9"/>
            <color indexed="81"/>
            <rFont val="Tahoma"/>
            <family val="2"/>
          </rPr>
          <t xml:space="preserve">
</t>
        </r>
      </text>
    </comment>
    <comment ref="V6" authorId="0" shapeId="0" xr:uid="{8A9A25BA-4002-4CE0-8E03-88EC67C0F2DB}">
      <text>
        <r>
          <rPr>
            <sz val="10"/>
            <color indexed="81"/>
            <rFont val="Tahoma"/>
            <family val="2"/>
          </rPr>
          <t xml:space="preserve">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Indicadores do negócio (N) e estratégicos (N) possuem metas com explicações suficientes sobre o potencial de seu alcance, considerando o nível atual, planos e cenários. Essas explicações devem estar explícitas e sustentadas por estudos demonstráveis. </t>
        </r>
      </text>
    </comment>
    <comment ref="W6" authorId="1" shapeId="0" xr:uid="{38B692A3-4319-4E94-94AC-C6E31F2F65A7}">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EE16747-BB41-4153-B541-41C6A92C6D0C}">
      <text>
        <r>
          <rPr>
            <b/>
            <sz val="9"/>
            <color indexed="81"/>
            <rFont val="Tahoma"/>
            <family val="2"/>
          </rPr>
          <t>% parcial POTENCIAL</t>
        </r>
      </text>
    </comment>
    <comment ref="Y6" authorId="1" shapeId="0" xr:uid="{543BDF8C-52A3-4066-959C-44CA8BF8D5BF}">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C141D331-924F-4E11-975C-45D762172C22}">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959F3D97-5DC7-433D-ADA6-8B2B641C5E5E}">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E994C194-34CA-4599-B43D-6E3E49F3082D}">
      <text>
        <r>
          <rPr>
            <sz val="10"/>
            <color indexed="81"/>
            <rFont val="Tahoma"/>
            <family val="2"/>
          </rPr>
          <t xml:space="preserve">Valor do indicador no último ciclo.
</t>
        </r>
      </text>
    </comment>
    <comment ref="AD6" authorId="0" shapeId="0" xr:uid="{F2AD3905-3DC3-4681-B4AB-9E485159F1C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5571826A-C986-4132-939A-6B71CCFA00B7}">
      <text>
        <r>
          <rPr>
            <sz val="10"/>
            <color indexed="81"/>
            <rFont val="Tahoma"/>
            <family val="2"/>
          </rPr>
          <t xml:space="preserve">Requisito de Parte Interessada é um Valor esperado (MT) por ela ou uma Evolução favorável (EF) esperada por ela no último exercício.
</t>
        </r>
      </text>
    </comment>
    <comment ref="AF6" authorId="0" shapeId="0" xr:uid="{3CB80D1E-9AF9-41F7-8323-893CDCF49255}">
      <text>
        <r>
          <rPr>
            <sz val="10"/>
            <color indexed="81"/>
            <rFont val="Tahoma"/>
            <family val="2"/>
          </rPr>
          <t>Adicionar explicações sobre o indicador ou sua situação se necessário.</t>
        </r>
      </text>
    </comment>
    <comment ref="AG6" authorId="0" shapeId="0" xr:uid="{C88E7E6F-6741-435F-80E9-EC359D729985}">
      <text>
        <r>
          <rPr>
            <sz val="11"/>
            <color indexed="81"/>
            <rFont val="Tahoma"/>
            <family val="2"/>
          </rPr>
          <t>Ligar a um Processo dos Critérios de 1 a 7 se desejar.</t>
        </r>
      </text>
    </comment>
    <comment ref="A9" authorId="1" shapeId="0" xr:uid="{7834FC4C-3AA2-4056-B8C2-A95F48D5B68A}">
      <text>
        <r>
          <rPr>
            <sz val="11"/>
            <color indexed="81"/>
            <rFont val="Tahoma"/>
            <family val="2"/>
          </rPr>
          <t>IMPORTANTE:
Linhas para informar indicador. Devem ter o valor "8" para serem consideradas na avaliação.</t>
        </r>
      </text>
    </comment>
    <comment ref="A10" authorId="1" shapeId="0" xr:uid="{53BB858C-922A-41D9-AA70-2A090D9E2C1C}">
      <text>
        <r>
          <rPr>
            <sz val="11"/>
            <color indexed="81"/>
            <rFont val="Tahoma"/>
            <family val="2"/>
          </rPr>
          <t>IMPORTANTE:
Linhas para informar indicador. Devem ter o valor "8" para serem consideradas na avaliação.</t>
        </r>
      </text>
    </comment>
    <comment ref="A11" authorId="1" shapeId="0" xr:uid="{ABC300D5-4412-406D-9E85-D6E81C0C85B9}">
      <text>
        <r>
          <rPr>
            <sz val="11"/>
            <color indexed="81"/>
            <rFont val="Tahoma"/>
            <family val="2"/>
          </rPr>
          <t>IMPORTANTE:
Linhas para informar indicador. Devem ter o valor "8" para serem consideradas na avaliação.</t>
        </r>
      </text>
    </comment>
    <comment ref="A12" authorId="1" shapeId="0" xr:uid="{D038E40B-1CEA-460C-BC52-72E332DE5707}">
      <text>
        <r>
          <rPr>
            <sz val="11"/>
            <color indexed="81"/>
            <rFont val="Tahoma"/>
            <family val="2"/>
          </rPr>
          <t>IMPORTANTE:
Linhas para informar indicador. Devem ter o valor "8" para serem consideradas na avaliação.</t>
        </r>
      </text>
    </comment>
    <comment ref="A13" authorId="1" shapeId="0" xr:uid="{81328548-A3D4-4C4F-B173-9ED8569FDBDA}">
      <text>
        <r>
          <rPr>
            <sz val="11"/>
            <color indexed="81"/>
            <rFont val="Tahoma"/>
            <family val="2"/>
          </rPr>
          <t>IMPORTANTE:
Linhas para informar indicador. Devem ter o valor "8" para serem consideradas na avaliação.</t>
        </r>
      </text>
    </comment>
    <comment ref="A14" authorId="1" shapeId="0" xr:uid="{3A0DC844-683B-4B54-9432-2C5FA887988E}">
      <text>
        <r>
          <rPr>
            <sz val="11"/>
            <color indexed="81"/>
            <rFont val="Tahoma"/>
            <family val="2"/>
          </rPr>
          <t>IMPORTANTE:
Linhas para informar indicador. Devem ter o valor "8" para serem consideradas na avaliação.</t>
        </r>
      </text>
    </comment>
    <comment ref="A15" authorId="1" shapeId="0" xr:uid="{105A54AC-69EC-4AAC-8A19-6726368FD484}">
      <text>
        <r>
          <rPr>
            <sz val="11"/>
            <color indexed="81"/>
            <rFont val="Tahoma"/>
            <family val="2"/>
          </rPr>
          <t>IMPORTANTE:
Linhas para informar indicador. Devem ter o valor "8" para serem consideradas na avaliação.</t>
        </r>
      </text>
    </comment>
    <comment ref="A16" authorId="1" shapeId="0" xr:uid="{05ED1A1F-D34B-41B3-80F6-A680374BBDFC}">
      <text>
        <r>
          <rPr>
            <sz val="11"/>
            <color indexed="81"/>
            <rFont val="Tahoma"/>
            <family val="2"/>
          </rPr>
          <t>IMPORTANTE:
Linhas para informar indicador. Devem ter o valor "8" para serem consideradas na avaliação.</t>
        </r>
      </text>
    </comment>
    <comment ref="A17" authorId="1" shapeId="0" xr:uid="{A59D5472-81B1-45B7-8128-D4519CBFCAA6}">
      <text>
        <r>
          <rPr>
            <sz val="11"/>
            <color indexed="81"/>
            <rFont val="Tahoma"/>
            <family val="2"/>
          </rPr>
          <t>IMPORTANTE:
Linhas para informar indicador. Devem ter o valor "8" para serem consideradas na avaliação.</t>
        </r>
      </text>
    </comment>
    <comment ref="A18" authorId="1" shapeId="0" xr:uid="{DB442384-B9F3-41A4-ABE8-9BDFD1F30CFC}">
      <text>
        <r>
          <rPr>
            <sz val="11"/>
            <color indexed="81"/>
            <rFont val="Tahoma"/>
            <family val="2"/>
          </rPr>
          <t>IMPORTANTE:
Linhas para informar indicador. Devem ter o valor "8" para serem consideradas na avaliação.</t>
        </r>
      </text>
    </comment>
    <comment ref="A19" authorId="1" shapeId="0" xr:uid="{B247D02B-B252-428E-9DF6-5C4C78A75639}">
      <text>
        <r>
          <rPr>
            <sz val="11"/>
            <color indexed="81"/>
            <rFont val="Tahoma"/>
            <family val="2"/>
          </rPr>
          <t>IMPORTANTE:
Linhas para informar indicador. Devem ter o valor "8" para serem consideradas na avaliação.</t>
        </r>
      </text>
    </comment>
    <comment ref="A20" authorId="1" shapeId="0" xr:uid="{9884619E-5548-498E-8AF7-9DEB4FE9421D}">
      <text>
        <r>
          <rPr>
            <sz val="11"/>
            <color indexed="81"/>
            <rFont val="Tahoma"/>
            <family val="2"/>
          </rPr>
          <t>IMPORTANTE:
Linhas para informar indicador. Devem ter o valor "8" para serem consideradas na avaliação.</t>
        </r>
      </text>
    </comment>
    <comment ref="A21" authorId="1" shapeId="0" xr:uid="{3EBC21E7-1D0C-45BA-B0CE-5D6091A72589}">
      <text>
        <r>
          <rPr>
            <sz val="11"/>
            <color indexed="81"/>
            <rFont val="Tahoma"/>
            <family val="2"/>
          </rPr>
          <t>IMPORTANTE:
Linhas para informar indicador. Devem ter o valor "8" para serem consideradas na avaliação.</t>
        </r>
      </text>
    </comment>
    <comment ref="A22" authorId="1" shapeId="0" xr:uid="{F9EA92C8-FCF9-41CD-A597-4028E241159F}">
      <text>
        <r>
          <rPr>
            <sz val="11"/>
            <color indexed="81"/>
            <rFont val="Tahoma"/>
            <family val="2"/>
          </rPr>
          <t>IMPORTANTE:
Linhas para informar indicador. Devem ter o valor "8" para serem consideradas na avaliação.</t>
        </r>
      </text>
    </comment>
    <comment ref="A23" authorId="1" shapeId="0" xr:uid="{12DE9BDC-D48E-448B-B6AC-92A2CA433001}">
      <text>
        <r>
          <rPr>
            <sz val="11"/>
            <color indexed="81"/>
            <rFont val="Tahoma"/>
            <family val="2"/>
          </rPr>
          <t>IMPORTANTE:
Linhas para informar indicador. Devem ter o valor "8" para serem consideradas na avaliação.</t>
        </r>
      </text>
    </comment>
    <comment ref="A24" authorId="1" shapeId="0" xr:uid="{C0BE9AC3-5216-4AD5-9EBF-C52887B9129B}">
      <text>
        <r>
          <rPr>
            <sz val="11"/>
            <color indexed="81"/>
            <rFont val="Tahoma"/>
            <family val="2"/>
          </rPr>
          <t>IMPORTANTE:
Linhas para informar indicador. Devem ter o valor "8" para serem consideradas na avaliação.</t>
        </r>
      </text>
    </comment>
    <comment ref="A25" authorId="1" shapeId="0" xr:uid="{4145E07C-7CAD-436E-A4B4-37B4642F9C16}">
      <text>
        <r>
          <rPr>
            <sz val="11"/>
            <color indexed="81"/>
            <rFont val="Tahoma"/>
            <family val="2"/>
          </rPr>
          <t>IMPORTANTE:
Linhas para informar indicador. Devem ter o valor "8" para serem consideradas na avaliação.</t>
        </r>
      </text>
    </comment>
    <comment ref="A26" authorId="1" shapeId="0" xr:uid="{3756CCF6-AB40-4794-BA73-7C62182799BA}">
      <text>
        <r>
          <rPr>
            <sz val="11"/>
            <color indexed="81"/>
            <rFont val="Tahoma"/>
            <family val="2"/>
          </rPr>
          <t>IMPORTANTE:
Linhas para informar indicador. Devem ter o valor "8" para serem consideradas na avaliação.</t>
        </r>
      </text>
    </comment>
    <comment ref="A27" authorId="1" shapeId="0" xr:uid="{B72963B4-2439-4462-87B3-4AC22F0930B1}">
      <text>
        <r>
          <rPr>
            <sz val="11"/>
            <color indexed="81"/>
            <rFont val="Tahoma"/>
            <family val="2"/>
          </rPr>
          <t>IMPORTANTE:
Linhas para informar indicador. Devem ter o valor "8" para serem consideradas na avaliação.</t>
        </r>
      </text>
    </comment>
    <comment ref="A28" authorId="1" shapeId="0" xr:uid="{352F0086-17EC-4BD0-996F-DD7C48B0F0BE}">
      <text>
        <r>
          <rPr>
            <sz val="11"/>
            <color indexed="81"/>
            <rFont val="Tahoma"/>
            <family val="2"/>
          </rPr>
          <t>IMPORTANTE:
Linhas para informar indicador. Devem ter o valor "8" para serem consideradas na avaliação.</t>
        </r>
      </text>
    </comment>
    <comment ref="A29" authorId="1" shapeId="0" xr:uid="{AB2636DF-1258-42E8-A365-4B60F6ACE10A}">
      <text>
        <r>
          <rPr>
            <sz val="11"/>
            <color indexed="81"/>
            <rFont val="Tahoma"/>
            <family val="2"/>
          </rPr>
          <t>IMPORTANTE:
Linhas para informar indicador. Devem ter o valor "8" para serem consideradas na avaliação.</t>
        </r>
      </text>
    </comment>
    <comment ref="A30" authorId="1" shapeId="0" xr:uid="{BC2C71CA-F521-4191-AE59-8A915CE7A00F}">
      <text>
        <r>
          <rPr>
            <sz val="11"/>
            <color indexed="81"/>
            <rFont val="Tahoma"/>
            <family val="2"/>
          </rPr>
          <t>IMPORTANTE:
Linhas para informar indicador. Devem ter o valor "8" para serem consideradas na avaliação.</t>
        </r>
      </text>
    </comment>
    <comment ref="A31" authorId="1" shapeId="0" xr:uid="{CEA4ED38-D1AE-40F2-96BC-AFB5AF8ADB51}">
      <text>
        <r>
          <rPr>
            <sz val="11"/>
            <color indexed="81"/>
            <rFont val="Tahoma"/>
            <family val="2"/>
          </rPr>
          <t>IMPORTANTE:
Linhas para informar indicador. Devem ter o valor "8" para serem consideradas na avaliação.</t>
        </r>
      </text>
    </comment>
    <comment ref="A32" authorId="1" shapeId="0" xr:uid="{05463344-E291-4D54-9577-7ABBD9001994}">
      <text>
        <r>
          <rPr>
            <sz val="11"/>
            <color indexed="81"/>
            <rFont val="Tahoma"/>
            <family val="2"/>
          </rPr>
          <t>IMPORTANTE:
Linhas para informar indicador. Devem ter o valor "8" para serem consideradas na avaliação.</t>
        </r>
      </text>
    </comment>
    <comment ref="A33" authorId="1" shapeId="0" xr:uid="{7A911333-26FD-4AC7-9B97-207ACEF01B7C}">
      <text>
        <r>
          <rPr>
            <sz val="11"/>
            <color indexed="81"/>
            <rFont val="Tahoma"/>
            <family val="2"/>
          </rPr>
          <t>IMPORTANTE:
Linhas para informar indicador. Devem ter o valor "8" para serem consideradas na avaliação.</t>
        </r>
      </text>
    </comment>
    <comment ref="A34" authorId="1" shapeId="0" xr:uid="{C61894E9-E575-451B-B59C-3D0536D37018}">
      <text>
        <r>
          <rPr>
            <sz val="11"/>
            <color indexed="81"/>
            <rFont val="Tahoma"/>
            <family val="2"/>
          </rPr>
          <t>IMPORTANTE:
Linhas para informar indicador. Devem ter o valor "8" para serem consideradas na avaliação.</t>
        </r>
      </text>
    </comment>
    <comment ref="A35" authorId="1" shapeId="0" xr:uid="{7E398370-5FEF-4DA1-AA66-3377103C09D3}">
      <text>
        <r>
          <rPr>
            <sz val="11"/>
            <color indexed="81"/>
            <rFont val="Tahoma"/>
            <family val="2"/>
          </rPr>
          <t>IMPORTANTE:
Linhas para informar indicador. Devem ter o valor "8" para serem consideradas na avaliação.</t>
        </r>
      </text>
    </comment>
    <comment ref="A36" authorId="1" shapeId="0" xr:uid="{D6CF0941-42A3-4015-8EB0-C786BF6D3C8C}">
      <text>
        <r>
          <rPr>
            <sz val="11"/>
            <color indexed="81"/>
            <rFont val="Tahoma"/>
            <family val="2"/>
          </rPr>
          <t>IMPORTANTE:
Linhas para informar indicador. Devem ter o valor "8" para serem consideradas na avaliação.</t>
        </r>
      </text>
    </comment>
    <comment ref="A37" authorId="1" shapeId="0" xr:uid="{49A3E572-B53B-48A9-9639-AE2D63DC87F1}">
      <text>
        <r>
          <rPr>
            <sz val="11"/>
            <color indexed="81"/>
            <rFont val="Tahoma"/>
            <family val="2"/>
          </rPr>
          <t>IMPORTANTE:
Linhas para informar indicador. Devem ter o valor "8" para serem consideradas na avaliação.</t>
        </r>
      </text>
    </comment>
    <comment ref="A38" authorId="1" shapeId="0" xr:uid="{00014DBB-9D40-4126-90D2-C595DCA90901}">
      <text>
        <r>
          <rPr>
            <sz val="11"/>
            <color indexed="81"/>
            <rFont val="Tahoma"/>
            <family val="2"/>
          </rPr>
          <t>IMPORTANTE:
Linhas para informar indicador. Devem ter o valor "8" para serem consideradas na avaliação.</t>
        </r>
      </text>
    </comment>
    <comment ref="A39" authorId="1" shapeId="0" xr:uid="{FB606F6F-166E-4DE9-84DF-6D9ECA9E755A}">
      <text>
        <r>
          <rPr>
            <sz val="11"/>
            <color indexed="81"/>
            <rFont val="Tahoma"/>
            <family val="2"/>
          </rPr>
          <t>IMPORTANTE:
Linhas para informar indicador. Devem ter o valor "8" para serem consideradas na avaliação.</t>
        </r>
      </text>
    </comment>
    <comment ref="A40" authorId="1" shapeId="0" xr:uid="{316369AF-B48D-4277-ACD9-2B5150BC6F3A}">
      <text>
        <r>
          <rPr>
            <sz val="11"/>
            <color indexed="81"/>
            <rFont val="Tahoma"/>
            <family val="2"/>
          </rPr>
          <t>IMPORTANTE:
Linhas para informar indicador. Devem ter o valor "8" para serem consideradas na avaliação.</t>
        </r>
      </text>
    </comment>
    <comment ref="A41" authorId="1" shapeId="0" xr:uid="{D1F8D1D0-9DED-461C-A5E4-43F3391EC193}">
      <text>
        <r>
          <rPr>
            <sz val="11"/>
            <color indexed="81"/>
            <rFont val="Tahoma"/>
            <family val="2"/>
          </rPr>
          <t>IMPORTANTE:
Linhas para informar indicador. Devem ter o valor "8" para serem consideradas na avaliação.</t>
        </r>
      </text>
    </comment>
    <comment ref="A42" authorId="1" shapeId="0" xr:uid="{9CC912B3-FE40-491A-9498-1CFE5B27C9CF}">
      <text>
        <r>
          <rPr>
            <sz val="11"/>
            <color indexed="81"/>
            <rFont val="Tahoma"/>
            <family val="2"/>
          </rPr>
          <t>IMPORTANTE:
Linhas para informar indicador. Devem ter o valor "8" para serem consideradas na avaliação.</t>
        </r>
      </text>
    </comment>
    <comment ref="A43" authorId="1" shapeId="0" xr:uid="{F6864697-C69F-480C-B7DD-93462375253B}">
      <text>
        <r>
          <rPr>
            <sz val="11"/>
            <color indexed="81"/>
            <rFont val="Tahoma"/>
            <family val="2"/>
          </rPr>
          <t>IMPORTANTE:
Linhas para informar indicador. Devem ter o valor "8" para serem consideradas na avaliação.</t>
        </r>
      </text>
    </comment>
    <comment ref="A44" authorId="1" shapeId="0" xr:uid="{0CDA2ADF-053E-40B8-AF21-24E0F930BA40}">
      <text>
        <r>
          <rPr>
            <sz val="11"/>
            <color indexed="81"/>
            <rFont val="Tahoma"/>
            <family val="2"/>
          </rPr>
          <t>IMPORTANTE:
Linhas para informar indicador. Devem ter o valor "8" para serem consideradas na avaliação.</t>
        </r>
      </text>
    </comment>
    <comment ref="C47" authorId="1" shapeId="0" xr:uid="{36F9C51B-77E0-4931-A172-06C74B9CEE2C}">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52" authorId="1" shapeId="0" xr:uid="{AC738B2E-8644-4AC6-8643-D157494F5B97}">
      <text>
        <r>
          <rPr>
            <sz val="9"/>
            <color indexed="81"/>
            <rFont val="Tahoma"/>
            <family val="2"/>
          </rPr>
          <t>Inserir linhas se necessário
PF Ponto Forte
OM Oportunidade para Melhoria</t>
        </r>
      </text>
    </comment>
    <comment ref="B53" authorId="1" shapeId="0" xr:uid="{70C4051C-CA22-4817-A29B-94888644937E}">
      <text>
        <r>
          <rPr>
            <sz val="9"/>
            <color indexed="81"/>
            <rFont val="Tahoma"/>
            <family val="2"/>
          </rPr>
          <t>Inserir linhas se necessário
PF Ponto Forte
OM Oportunidade para Melhoria</t>
        </r>
      </text>
    </comment>
    <comment ref="B54" authorId="1" shapeId="0" xr:uid="{A28E5CA9-C8B0-409B-9E94-E40B2BB499BD}">
      <text>
        <r>
          <rPr>
            <sz val="9"/>
            <color indexed="81"/>
            <rFont val="Tahoma"/>
            <family val="2"/>
          </rPr>
          <t>Inserir linhas se necessário
PF Ponto Forte
OM Oportunidade para Melhoria</t>
        </r>
      </text>
    </comment>
    <comment ref="B55" authorId="1" shapeId="0" xr:uid="{5EA0BE2C-8E1F-4E3C-AB6A-FE10BE734772}">
      <text>
        <r>
          <rPr>
            <sz val="9"/>
            <color indexed="81"/>
            <rFont val="Tahoma"/>
            <family val="2"/>
          </rPr>
          <t>Inserir linhas se necessário
PF Ponto Forte
OM Oportunidade para Melhoria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B29F54D4-2A53-4451-BE3D-EDC57C4ABFF0}">
      <text>
        <r>
          <rPr>
            <b/>
            <sz val="9"/>
            <color indexed="81"/>
            <rFont val="Tahoma"/>
            <family val="2"/>
          </rPr>
          <t xml:space="preserve">O sistema de pontuação é automático com base nos fatores avaliados em Evolução, Competitividade e Compromisso.
</t>
        </r>
      </text>
    </comment>
    <comment ref="A4" authorId="1" shapeId="0" xr:uid="{A2FF5C6C-C0BD-46C4-9719-D35181F4A923}">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00000000-0006-0000-0900-000003000000}">
      <text>
        <r>
          <rPr>
            <b/>
            <sz val="10"/>
            <color indexed="81"/>
            <rFont val="Tahoma"/>
            <family val="2"/>
          </rPr>
          <t>BARRA DE PROGRESSO DO ITEM
Calculado com base nos fatores exigíveis para o Tipo de indicador.</t>
        </r>
      </text>
    </comment>
    <comment ref="G4" authorId="0" shapeId="0" xr:uid="{EF419A0B-FB26-4B33-BB98-608C05A18A6C}">
      <text>
        <r>
          <rPr>
            <sz val="10"/>
            <color indexed="81"/>
            <rFont val="Tahoma"/>
            <family val="2"/>
          </rPr>
          <t>Refere-se à demonstração de melhoria do desempenho ou estabilização em bom nível.</t>
        </r>
      </text>
    </comment>
    <comment ref="J4" authorId="0" shapeId="0" xr:uid="{4FF99921-5B83-4691-A83B-068D91BF81EF}">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D94525D8-F572-4FA5-97FA-5307366837B7}">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0F6C0569-221C-4736-A7B3-5A1E4625A93B}">
      <text>
        <r>
          <rPr>
            <sz val="10"/>
            <color indexed="81"/>
            <rFont val="Tahoma"/>
            <family val="2"/>
          </rPr>
          <t xml:space="preserve">Somente para indicadores Estratégicos, incluindo do Negócio. 
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C6" authorId="0" shapeId="0" xr:uid="{B1BC11CC-0C4E-4CFE-A51D-4599C2C9C73B}">
      <text>
        <r>
          <rPr>
            <sz val="10"/>
            <color indexed="81"/>
            <rFont val="Tahoma"/>
            <family val="2"/>
          </rPr>
          <t>Uso livre. Opcionalmente, informar nesta coluna a área  responsável.</t>
        </r>
      </text>
    </comment>
    <comment ref="D6" authorId="0" shapeId="0" xr:uid="{263E1DC1-F64E-48B2-90A4-C185FDD96E25}">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FA93E0AC-8085-4403-B6F3-E744AB61177C}">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77A54772-E537-4103-8E3C-ABFAD32E0CD4}">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C32A97E9-9127-4978-B0C3-A1D0BF8ADEAE}">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4402CF35-C8A2-4843-898D-BC4E9E3DF5A8}">
      <text>
        <r>
          <rPr>
            <b/>
            <sz val="10"/>
            <color indexed="81"/>
            <rFont val="Tahoma"/>
            <family val="2"/>
          </rPr>
          <t>% parcial EVOLUÇÃO</t>
        </r>
      </text>
    </comment>
    <comment ref="J6" authorId="0" shapeId="0" xr:uid="{20BACE54-E0D7-4C13-87B8-E9E83F962AC3}">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18748539-88BE-4D01-8E09-1677A49E1BD8}">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646EDA25-51F4-40D3-819E-807A49847109}">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66AFCCC9-2E05-4D20-9EB6-FB4CB50D0EB1}">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65921777-0050-443D-864E-98F2DE349100}">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D50164C2-6C65-4959-AF4E-34476313C909}">
      <text>
        <r>
          <rPr>
            <b/>
            <sz val="9"/>
            <color indexed="81"/>
            <rFont val="Tahoma"/>
            <family val="2"/>
          </rPr>
          <t>% parcial COMPETITIVIDADE</t>
        </r>
      </text>
    </comment>
    <comment ref="P6" authorId="0" shapeId="0" xr:uid="{A25F5F35-D127-4D22-B7A8-283F819302C7}">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94FC3BCF-4DC6-4C22-AC60-C61BA26D92FA}">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B489F640-7C6F-4D34-8AB1-DF98AA17EF23}">
      <text>
        <r>
          <rPr>
            <sz val="10"/>
            <color indexed="81"/>
            <rFont val="Tahoma"/>
            <family val="2"/>
          </rPr>
          <t>Informar o nome ou sigla que identifica a(s) parte(s)  interessada(s) no resultado.</t>
        </r>
      </text>
    </comment>
    <comment ref="S6" authorId="0" shapeId="0" xr:uid="{82B0EABC-855E-466E-B3D1-ACBB3A9BB3B8}">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A6D080DC-048B-4558-86DF-99308AF168B2}">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C1488824-1C5D-4989-B938-A055A46351DF}">
      <text>
        <r>
          <rPr>
            <b/>
            <sz val="9"/>
            <color indexed="81"/>
            <rFont val="Tahoma"/>
            <family val="2"/>
          </rPr>
          <t>% parcial COMPROMISSO</t>
        </r>
        <r>
          <rPr>
            <sz val="9"/>
            <color indexed="81"/>
            <rFont val="Tahoma"/>
            <family val="2"/>
          </rPr>
          <t xml:space="preserve">
</t>
        </r>
      </text>
    </comment>
    <comment ref="V6" authorId="0" shapeId="0" xr:uid="{441D0CFD-72C6-48C5-84C6-E2F34E25FA6F}">
      <text>
        <r>
          <rPr>
            <sz val="10"/>
            <color indexed="81"/>
            <rFont val="Tahoma"/>
            <family val="2"/>
          </rPr>
          <t xml:space="preserve">0: Não há meta futura definida para o indicador estratégico 
1: Há meta baseada em expectativa não justificada
2: Potencial de alcance de meta justificado genericamente
3: Potencial de alcance de meta muito bem justificado por estudos, projeções ou avaliações
Indicadores do negócio e estratégicos possuem metas com explicações suficientes sobre o potencial de seu alcance, considerando o nível atual, planos e cenários. Essas explicações devem estar explícitas e sustentadas por estudos demonstráveis. </t>
        </r>
      </text>
    </comment>
    <comment ref="W6" authorId="1" shapeId="0" xr:uid="{ECD5C311-94FB-41AF-844B-51614C246E0D}">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0000000-0006-0000-0900-00001C000000}">
      <text>
        <r>
          <rPr>
            <b/>
            <sz val="9"/>
            <color indexed="81"/>
            <rFont val="Tahoma"/>
            <family val="2"/>
          </rPr>
          <t>% parcial POTENCIAL</t>
        </r>
      </text>
    </comment>
    <comment ref="Y6" authorId="1" shapeId="0" xr:uid="{00000000-0006-0000-0900-00001D00000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00000000-0006-0000-0900-00001E00000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00000000-0006-0000-0900-00001F00000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00000000-0006-0000-0900-000020000000}">
      <text>
        <r>
          <rPr>
            <sz val="10"/>
            <color indexed="81"/>
            <rFont val="Tahoma"/>
            <family val="2"/>
          </rPr>
          <t xml:space="preserve">Valor do indicador no último ciclo.
</t>
        </r>
      </text>
    </comment>
    <comment ref="AD6" authorId="0" shapeId="0" xr:uid="{00000000-0006-0000-0900-00002100000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00000000-0006-0000-0900-000022000000}">
      <text>
        <r>
          <rPr>
            <sz val="10"/>
            <color indexed="81"/>
            <rFont val="Tahoma"/>
            <family val="2"/>
          </rPr>
          <t xml:space="preserve">Requisito de Parte Interessada é um Valor esperado (MT) por ela ou uma Evolução favorável (EF) esperada por ela no último exercício.
</t>
        </r>
      </text>
    </comment>
    <comment ref="AF6" authorId="0" shapeId="0" xr:uid="{00000000-0006-0000-0900-000023000000}">
      <text>
        <r>
          <rPr>
            <sz val="10"/>
            <color indexed="81"/>
            <rFont val="Tahoma"/>
            <family val="2"/>
          </rPr>
          <t>Adicionar explicações sobre o indicador ou sua situação se necessário.</t>
        </r>
      </text>
    </comment>
    <comment ref="AG6" authorId="0" shapeId="0" xr:uid="{00000000-0006-0000-0900-000024000000}">
      <text>
        <r>
          <rPr>
            <sz val="11"/>
            <color indexed="81"/>
            <rFont val="Tahoma"/>
            <family val="2"/>
          </rPr>
          <t>Ligar a um Processo dos Critérios de 1 a 7 se desejar.</t>
        </r>
      </text>
    </comment>
    <comment ref="A9" authorId="1" shapeId="0" xr:uid="{00000000-0006-0000-0900-000025000000}">
      <text>
        <r>
          <rPr>
            <sz val="11"/>
            <color indexed="81"/>
            <rFont val="Tahoma"/>
            <family val="2"/>
          </rPr>
          <t>IMPORTANTE:
Linhas para informar indicador. Devem ter o valor "8" para serem consideradas na avaliação.</t>
        </r>
      </text>
    </comment>
    <comment ref="A10" authorId="1" shapeId="0" xr:uid="{00000000-0006-0000-0900-000026000000}">
      <text>
        <r>
          <rPr>
            <sz val="11"/>
            <color indexed="81"/>
            <rFont val="Tahoma"/>
            <family val="2"/>
          </rPr>
          <t>IMPORTANTE:
Linhas para informar indicador. Devem ter o valor "8" para serem consideradas na avaliação.</t>
        </r>
      </text>
    </comment>
    <comment ref="A11" authorId="1" shapeId="0" xr:uid="{00000000-0006-0000-0900-000027000000}">
      <text>
        <r>
          <rPr>
            <sz val="11"/>
            <color indexed="81"/>
            <rFont val="Tahoma"/>
            <family val="2"/>
          </rPr>
          <t>IMPORTANTE:
Linhas para informar indicador. Devem ter o valor "8" para serem consideradas na avaliação.</t>
        </r>
      </text>
    </comment>
    <comment ref="A12" authorId="1" shapeId="0" xr:uid="{00000000-0006-0000-0900-000028000000}">
      <text>
        <r>
          <rPr>
            <sz val="11"/>
            <color indexed="81"/>
            <rFont val="Tahoma"/>
            <family val="2"/>
          </rPr>
          <t>IMPORTANTE:
Linhas para informar indicador. Devem ter o valor "8" para serem consideradas na avaliação.</t>
        </r>
      </text>
    </comment>
    <comment ref="A13" authorId="1" shapeId="0" xr:uid="{00000000-0006-0000-0900-000029000000}">
      <text>
        <r>
          <rPr>
            <sz val="11"/>
            <color indexed="81"/>
            <rFont val="Tahoma"/>
            <family val="2"/>
          </rPr>
          <t>IMPORTANTE:
Linhas para informar indicador. Devem ter o valor "8" para serem consideradas na avaliação.</t>
        </r>
      </text>
    </comment>
    <comment ref="A14" authorId="1" shapeId="0" xr:uid="{00000000-0006-0000-0900-00002A000000}">
      <text>
        <r>
          <rPr>
            <sz val="11"/>
            <color indexed="81"/>
            <rFont val="Tahoma"/>
            <family val="2"/>
          </rPr>
          <t>IMPORTANTE:
Linhas para informar indicador. Devem ter o valor "8" para serem consideradas na avaliação.</t>
        </r>
      </text>
    </comment>
    <comment ref="A15" authorId="1" shapeId="0" xr:uid="{00000000-0006-0000-0900-00002B000000}">
      <text>
        <r>
          <rPr>
            <sz val="11"/>
            <color indexed="81"/>
            <rFont val="Tahoma"/>
            <family val="2"/>
          </rPr>
          <t>IMPORTANTE:
Linhas para informar indicador. Devem ter o valor "8" para serem consideradas na avaliação.</t>
        </r>
      </text>
    </comment>
    <comment ref="A16" authorId="1" shapeId="0" xr:uid="{00000000-0006-0000-0900-00002C000000}">
      <text>
        <r>
          <rPr>
            <sz val="11"/>
            <color indexed="81"/>
            <rFont val="Tahoma"/>
            <family val="2"/>
          </rPr>
          <t>IMPORTANTE:
Linhas para informar indicador. Devem ter o valor "8" para serem consideradas na avaliação.</t>
        </r>
      </text>
    </comment>
    <comment ref="A17" authorId="1" shapeId="0" xr:uid="{00000000-0006-0000-0900-00002D000000}">
      <text>
        <r>
          <rPr>
            <sz val="11"/>
            <color indexed="81"/>
            <rFont val="Tahoma"/>
            <family val="2"/>
          </rPr>
          <t>IMPORTANTE:
Linhas para informar indicador. Devem ter o valor "8" para serem consideradas na avaliação.</t>
        </r>
      </text>
    </comment>
    <comment ref="A18" authorId="1" shapeId="0" xr:uid="{EECFC24B-85E8-4DB9-9FC2-7AD2940EC3CD}">
      <text>
        <r>
          <rPr>
            <sz val="11"/>
            <color indexed="81"/>
            <rFont val="Tahoma"/>
            <family val="2"/>
          </rPr>
          <t>IMPORTANTE:
Linhas para informar indicador. Devem ter o valor "8" para serem consideradas na avaliação.</t>
        </r>
      </text>
    </comment>
    <comment ref="A19" authorId="1" shapeId="0" xr:uid="{AA7ABE7E-9189-494B-B146-FBF3D1E34B81}">
      <text>
        <r>
          <rPr>
            <sz val="11"/>
            <color indexed="81"/>
            <rFont val="Tahoma"/>
            <family val="2"/>
          </rPr>
          <t>IMPORTANTE:
Linhas para informar indicador. Devem ter o valor "8" para serem consideradas na avaliação.</t>
        </r>
      </text>
    </comment>
    <comment ref="A20" authorId="1" shapeId="0" xr:uid="{83932CCF-0707-4FA4-BB13-4869E87FDD29}">
      <text>
        <r>
          <rPr>
            <sz val="11"/>
            <color indexed="81"/>
            <rFont val="Tahoma"/>
            <family val="2"/>
          </rPr>
          <t>IMPORTANTE:
Linhas para informar indicador. Devem ter o valor "8" para serem consideradas na avaliação.</t>
        </r>
      </text>
    </comment>
    <comment ref="A21" authorId="1" shapeId="0" xr:uid="{62B8BD0F-4116-48B0-86DE-34A70E3D96FA}">
      <text>
        <r>
          <rPr>
            <sz val="11"/>
            <color indexed="81"/>
            <rFont val="Tahoma"/>
            <family val="2"/>
          </rPr>
          <t>IMPORTANTE:
Linhas para informar indicador. Devem ter o valor "8" para serem consideradas na avaliação.</t>
        </r>
      </text>
    </comment>
    <comment ref="A22" authorId="1" shapeId="0" xr:uid="{129CBCD7-8C8D-47A1-AD78-C0349B616873}">
      <text>
        <r>
          <rPr>
            <sz val="11"/>
            <color indexed="81"/>
            <rFont val="Tahoma"/>
            <family val="2"/>
          </rPr>
          <t>IMPORTANTE:
Linhas para informar indicador. Devem ter o valor "8" para serem consideradas na avaliação.</t>
        </r>
      </text>
    </comment>
    <comment ref="A23" authorId="1" shapeId="0" xr:uid="{1F44D53A-881C-45C1-B25E-F504FD52E5FD}">
      <text>
        <r>
          <rPr>
            <sz val="11"/>
            <color indexed="81"/>
            <rFont val="Tahoma"/>
            <family val="2"/>
          </rPr>
          <t>IMPORTANTE:
Linhas para informar indicador. Devem ter o valor "8" para serem consideradas na avaliação.</t>
        </r>
      </text>
    </comment>
    <comment ref="A24" authorId="1" shapeId="0" xr:uid="{1B6A5A8D-E292-4396-B22C-C6D61B80BE2E}">
      <text>
        <r>
          <rPr>
            <sz val="11"/>
            <color indexed="81"/>
            <rFont val="Tahoma"/>
            <family val="2"/>
          </rPr>
          <t>IMPORTANTE:
Linhas para informar indicador. Devem ter o valor "8" para serem consideradas na avaliação.</t>
        </r>
      </text>
    </comment>
    <comment ref="A25" authorId="1" shapeId="0" xr:uid="{0B454796-A50E-4442-B483-6EC6507CE49F}">
      <text>
        <r>
          <rPr>
            <sz val="11"/>
            <color indexed="81"/>
            <rFont val="Tahoma"/>
            <family val="2"/>
          </rPr>
          <t>IMPORTANTE:
Linhas para informar indicador. Devem ter o valor "8" para serem consideradas na avaliação.</t>
        </r>
      </text>
    </comment>
    <comment ref="A26" authorId="1" shapeId="0" xr:uid="{00000000-0006-0000-0900-00002E000000}">
      <text>
        <r>
          <rPr>
            <sz val="11"/>
            <color indexed="81"/>
            <rFont val="Tahoma"/>
            <family val="2"/>
          </rPr>
          <t>IMPORTANTE:
Linhas para informar indicador. Devem ter o valor "8" para serem consideradas na avaliação.</t>
        </r>
      </text>
    </comment>
    <comment ref="A27" authorId="1" shapeId="0" xr:uid="{00000000-0006-0000-0900-00002F000000}">
      <text>
        <r>
          <rPr>
            <sz val="11"/>
            <color indexed="81"/>
            <rFont val="Tahoma"/>
            <family val="2"/>
          </rPr>
          <t>IMPORTANTE:
Linhas para informar indicador. Devem ter o valor "8" para serem consideradas na avaliação.</t>
        </r>
      </text>
    </comment>
    <comment ref="A28" authorId="1" shapeId="0" xr:uid="{00000000-0006-0000-0900-000030000000}">
      <text>
        <r>
          <rPr>
            <sz val="11"/>
            <color indexed="81"/>
            <rFont val="Tahoma"/>
            <family val="2"/>
          </rPr>
          <t>IMPORTANTE:
Linhas para informar indicador. Devem ter o valor "8" para serem consideradas na avaliação.</t>
        </r>
      </text>
    </comment>
    <comment ref="A29" authorId="1" shapeId="0" xr:uid="{00000000-0006-0000-0900-000031000000}">
      <text>
        <r>
          <rPr>
            <sz val="11"/>
            <color indexed="81"/>
            <rFont val="Tahoma"/>
            <family val="2"/>
          </rPr>
          <t>IMPORTANTE:
Linhas para informar indicador. Devem ter o valor "8" para serem consideradas na avaliação.</t>
        </r>
      </text>
    </comment>
    <comment ref="A30" authorId="1" shapeId="0" xr:uid="{00000000-0006-0000-0900-000032000000}">
      <text>
        <r>
          <rPr>
            <sz val="11"/>
            <color indexed="81"/>
            <rFont val="Tahoma"/>
            <family val="2"/>
          </rPr>
          <t>IMPORTANTE:
Linhas para informar indicador. Devem ter o valor "8" para serem consideradas na avaliação.</t>
        </r>
      </text>
    </comment>
    <comment ref="A31" authorId="1" shapeId="0" xr:uid="{00000000-0006-0000-0900-000033000000}">
      <text>
        <r>
          <rPr>
            <sz val="11"/>
            <color indexed="81"/>
            <rFont val="Tahoma"/>
            <family val="2"/>
          </rPr>
          <t>IMPORTANTE:
Linhas para informar indicador. Devem ter o valor "8" para serem consideradas na avaliação.</t>
        </r>
      </text>
    </comment>
    <comment ref="A32" authorId="1" shapeId="0" xr:uid="{47E6237C-33D5-4C28-B2FE-7BFA03211B93}">
      <text>
        <r>
          <rPr>
            <sz val="11"/>
            <color indexed="81"/>
            <rFont val="Tahoma"/>
            <family val="2"/>
          </rPr>
          <t>IMPORTANTE:
Linhas para informar indicador. Devem ter o valor "8" para serem consideradas na avaliação.</t>
        </r>
      </text>
    </comment>
    <comment ref="A33" authorId="1" shapeId="0" xr:uid="{61F57A1D-9374-49C7-BBDC-3B214BB256DF}">
      <text>
        <r>
          <rPr>
            <sz val="11"/>
            <color indexed="81"/>
            <rFont val="Tahoma"/>
            <family val="2"/>
          </rPr>
          <t>IMPORTANTE:
Linhas para informar indicador. Devem ter o valor "8" para serem consideradas na avaliação.</t>
        </r>
      </text>
    </comment>
    <comment ref="A34" authorId="1" shapeId="0" xr:uid="{6114A59F-DFC5-428C-8696-B122A1C2C1C8}">
      <text>
        <r>
          <rPr>
            <sz val="11"/>
            <color indexed="81"/>
            <rFont val="Tahoma"/>
            <family val="2"/>
          </rPr>
          <t>IMPORTANTE:
Linhas para informar indicador. Devem ter o valor "8" para serem consideradas na avaliação.</t>
        </r>
      </text>
    </comment>
    <comment ref="A35" authorId="1" shapeId="0" xr:uid="{E9EC3800-8D1E-48BD-A139-A5ECBAFA315B}">
      <text>
        <r>
          <rPr>
            <sz val="11"/>
            <color indexed="81"/>
            <rFont val="Tahoma"/>
            <family val="2"/>
          </rPr>
          <t>IMPORTANTE:
Linhas para informar indicador. Devem ter o valor "8" para serem consideradas na avaliação.</t>
        </r>
      </text>
    </comment>
    <comment ref="A36" authorId="1" shapeId="0" xr:uid="{48A5D315-3F2B-4B21-9F2C-E6EB9193F595}">
      <text>
        <r>
          <rPr>
            <sz val="11"/>
            <color indexed="81"/>
            <rFont val="Tahoma"/>
            <family val="2"/>
          </rPr>
          <t>IMPORTANTE:
Linhas para informar indicador. Devem ter o valor "8" para serem consideradas na avaliação.</t>
        </r>
      </text>
    </comment>
    <comment ref="A37" authorId="1" shapeId="0" xr:uid="{B9853CE0-A64E-4E5B-A585-3F8C1B304CCE}">
      <text>
        <r>
          <rPr>
            <sz val="11"/>
            <color indexed="81"/>
            <rFont val="Tahoma"/>
            <family val="2"/>
          </rPr>
          <t>IMPORTANTE:
Linhas para informar indicador. Devem ter o valor "8" para serem consideradas na avaliação.</t>
        </r>
      </text>
    </comment>
    <comment ref="A38" authorId="1" shapeId="0" xr:uid="{A82D5C55-C3CB-4F97-BD97-6C65EDFB275D}">
      <text>
        <r>
          <rPr>
            <sz val="11"/>
            <color indexed="81"/>
            <rFont val="Tahoma"/>
            <family val="2"/>
          </rPr>
          <t>IMPORTANTE:
Linhas para informar indicador. Devem ter o valor "8" para serem consideradas na avaliação.</t>
        </r>
      </text>
    </comment>
    <comment ref="A39" authorId="1" shapeId="0" xr:uid="{03943FD7-A2D7-44DE-B1BE-9CDF693F2DDB}">
      <text>
        <r>
          <rPr>
            <sz val="11"/>
            <color indexed="81"/>
            <rFont val="Tahoma"/>
            <family val="2"/>
          </rPr>
          <t>IMPORTANTE:
Linhas para informar indicador. Devem ter o valor "8" para serem consideradas na avaliação.</t>
        </r>
      </text>
    </comment>
    <comment ref="A40" authorId="1" shapeId="0" xr:uid="{B0C92102-7D15-45D0-9513-7696829181C9}">
      <text>
        <r>
          <rPr>
            <sz val="11"/>
            <color indexed="81"/>
            <rFont val="Tahoma"/>
            <family val="2"/>
          </rPr>
          <t>IMPORTANTE:
Linhas para informar indicador. Devem ter o valor "8" para serem consideradas na avaliação.</t>
        </r>
      </text>
    </comment>
    <comment ref="A41" authorId="1" shapeId="0" xr:uid="{F001E72C-CAEB-40A1-A3A9-393D7F0B6EBC}">
      <text>
        <r>
          <rPr>
            <sz val="11"/>
            <color indexed="81"/>
            <rFont val="Tahoma"/>
            <family val="2"/>
          </rPr>
          <t>IMPORTANTE:
Linhas para informar indicador. Devem ter o valor "8" para serem consideradas na avaliação.</t>
        </r>
      </text>
    </comment>
    <comment ref="A42" authorId="1" shapeId="0" xr:uid="{2BFD291B-C346-4BEE-AF51-51BA15525B4C}">
      <text>
        <r>
          <rPr>
            <sz val="11"/>
            <color indexed="81"/>
            <rFont val="Tahoma"/>
            <family val="2"/>
          </rPr>
          <t>IMPORTANTE:
Linhas para informar indicador. Devem ter o valor "8" para serem consideradas na avaliação.</t>
        </r>
      </text>
    </comment>
    <comment ref="A43" authorId="1" shapeId="0" xr:uid="{ED2D91EC-39DB-4BCB-8BCB-FA980A2AB3D6}">
      <text>
        <r>
          <rPr>
            <sz val="11"/>
            <color indexed="81"/>
            <rFont val="Tahoma"/>
            <family val="2"/>
          </rPr>
          <t>IMPORTANTE:
Linhas para informar indicador. Devem ter o valor "8" para serem consideradas na avaliação.</t>
        </r>
      </text>
    </comment>
    <comment ref="A44" authorId="1" shapeId="0" xr:uid="{0447AD16-672F-4FF3-BD96-41FA92DBA61E}">
      <text>
        <r>
          <rPr>
            <sz val="11"/>
            <color indexed="81"/>
            <rFont val="Tahoma"/>
            <family val="2"/>
          </rPr>
          <t>IMPORTANTE:
Linhas para informar indicador. Devem ter o valor "8" para serem consideradas na avaliação.</t>
        </r>
      </text>
    </comment>
    <comment ref="A45" authorId="1" shapeId="0" xr:uid="{40B8070A-BAAC-4657-86AE-C5E30B3C1187}">
      <text>
        <r>
          <rPr>
            <sz val="11"/>
            <color indexed="81"/>
            <rFont val="Tahoma"/>
            <family val="2"/>
          </rPr>
          <t>IMPORTANTE:
Linhas para informar indicador. Devem ter o valor "8" para serem consideradas na avaliação.</t>
        </r>
      </text>
    </comment>
    <comment ref="A46" authorId="1" shapeId="0" xr:uid="{025B9906-D803-4450-9F99-AC1FDCFEF6AF}">
      <text>
        <r>
          <rPr>
            <sz val="11"/>
            <color indexed="81"/>
            <rFont val="Tahoma"/>
            <family val="2"/>
          </rPr>
          <t>IMPORTANTE:
Linhas para informar indicador. Devem ter o valor "8" para serem consideradas na avaliação.</t>
        </r>
      </text>
    </comment>
    <comment ref="C49" authorId="1" shapeId="0" xr:uid="{00000000-0006-0000-0900-00003400000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54" authorId="1" shapeId="0" xr:uid="{00000000-0006-0000-0900-000035000000}">
      <text>
        <r>
          <rPr>
            <sz val="9"/>
            <color indexed="81"/>
            <rFont val="Tahoma"/>
            <family val="2"/>
          </rPr>
          <t>Inserir linhas se necessário
PF Ponto Forte
OM Oportunidade para Melhoria</t>
        </r>
      </text>
    </comment>
    <comment ref="B55" authorId="1" shapeId="0" xr:uid="{00000000-0006-0000-0900-000036000000}">
      <text>
        <r>
          <rPr>
            <sz val="9"/>
            <color indexed="81"/>
            <rFont val="Tahoma"/>
            <family val="2"/>
          </rPr>
          <t>Inserir linhas se necessário
PF Ponto Forte
OM Oportunidade para Melhoria</t>
        </r>
      </text>
    </comment>
    <comment ref="B56" authorId="1" shapeId="0" xr:uid="{00000000-0006-0000-0900-000037000000}">
      <text>
        <r>
          <rPr>
            <sz val="9"/>
            <color indexed="81"/>
            <rFont val="Tahoma"/>
            <family val="2"/>
          </rPr>
          <t>Inserir linhas se necessário
PF Ponto Forte
OM Oportunidade para Melhoria</t>
        </r>
      </text>
    </comment>
    <comment ref="B57" authorId="1" shapeId="0" xr:uid="{00000000-0006-0000-0900-000038000000}">
      <text>
        <r>
          <rPr>
            <sz val="9"/>
            <color indexed="81"/>
            <rFont val="Tahoma"/>
            <family val="2"/>
          </rPr>
          <t>Inserir linhas se necessário
PF Ponto Forte
OM Oportunidade para Melhoria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CEB3E900-9229-4CE3-8FC0-B14C5D46BBAB}">
      <text>
        <r>
          <rPr>
            <b/>
            <sz val="9"/>
            <color indexed="81"/>
            <rFont val="Tahoma"/>
            <family val="2"/>
          </rPr>
          <t xml:space="preserve">O sistema de pontuação é automático com base nos fatores avaliados em Evolução, Competitividade e Compromisso.
</t>
        </r>
      </text>
    </comment>
    <comment ref="A4" authorId="1" shapeId="0" xr:uid="{73733358-1D5E-4055-BD94-1EF60E5D6077}">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00000000-0006-0000-0A00-000003000000}">
      <text>
        <r>
          <rPr>
            <b/>
            <sz val="10"/>
            <color indexed="81"/>
            <rFont val="Tahoma"/>
            <family val="2"/>
          </rPr>
          <t>BARRA DE PROGRESSO DO ITEM
Calculado com base nos fatores exigíveis para o Tipo de indicador.</t>
        </r>
      </text>
    </comment>
    <comment ref="G4" authorId="0" shapeId="0" xr:uid="{7C9D0AA8-4F65-442E-9A58-BE5F0A4D202B}">
      <text>
        <r>
          <rPr>
            <sz val="10"/>
            <color indexed="81"/>
            <rFont val="Tahoma"/>
            <family val="2"/>
          </rPr>
          <t>Refere-se à demonstração de melhoria do desempenho ou estabilização em bom nível.</t>
        </r>
      </text>
    </comment>
    <comment ref="J4" authorId="0" shapeId="0" xr:uid="{C481FC06-9DDE-497B-81D9-FBC42F94643C}">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B5CFCF7C-1416-4E61-80CA-8E286391A7E0}">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AD8BE5DF-7E21-49AC-9E4D-648C7D285D62}">
      <text>
        <r>
          <rPr>
            <sz val="10"/>
            <color indexed="81"/>
            <rFont val="Tahoma"/>
            <family val="2"/>
          </rPr>
          <t xml:space="preserve">Somente para indicadores Estratégicos, incluindo do Negócio. 
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C6" authorId="0" shapeId="0" xr:uid="{49733C01-37D9-460F-8432-C385CE597184}">
      <text>
        <r>
          <rPr>
            <sz val="10"/>
            <color indexed="81"/>
            <rFont val="Tahoma"/>
            <family val="2"/>
          </rPr>
          <t>Uso livre. Opcionalmente, informar nesta coluna a área  responsável.</t>
        </r>
      </text>
    </comment>
    <comment ref="D6" authorId="0" shapeId="0" xr:uid="{7C78C4EA-BF4E-4B26-97F9-72F733183B62}">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78702880-07EB-4234-B8F5-B3E127E4DBE9}">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B10DFE36-154A-4F04-91F0-1FF96C23CC39}">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504B6FF1-94E9-4016-8A3A-44A78D2F27FB}">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2A756C96-5611-4835-9DD9-C1AEAF1C9520}">
      <text>
        <r>
          <rPr>
            <b/>
            <sz val="10"/>
            <color indexed="81"/>
            <rFont val="Tahoma"/>
            <family val="2"/>
          </rPr>
          <t>% parcial EVOLUÇÃO</t>
        </r>
      </text>
    </comment>
    <comment ref="J6" authorId="0" shapeId="0" xr:uid="{1AE751F2-AF7F-41A3-98CB-BB6265344945}">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20652EE2-AFEB-429F-B9D7-D0A56D3F30A7}">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68F598BD-CB38-44F8-A48E-4B09235DEFC4}">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C8596BD6-8C8C-473D-AA3B-982BA6C2A9A6}">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542E5BEF-C94E-42BD-BC59-5652AC0A61D4}">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E546D427-B4D2-474C-8A30-967671A1632D}">
      <text>
        <r>
          <rPr>
            <b/>
            <sz val="9"/>
            <color indexed="81"/>
            <rFont val="Tahoma"/>
            <family val="2"/>
          </rPr>
          <t>% parcial COMPETITIVIDADE</t>
        </r>
      </text>
    </comment>
    <comment ref="P6" authorId="0" shapeId="0" xr:uid="{53781F18-513E-4E50-BD49-17DF3F0F987B}">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AC5D12A2-7B3E-410B-A089-19C323DEB12D}">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C8AE4889-D311-4F49-BC07-85F027007C02}">
      <text>
        <r>
          <rPr>
            <sz val="10"/>
            <color indexed="81"/>
            <rFont val="Tahoma"/>
            <family val="2"/>
          </rPr>
          <t>Informar o nome ou sigla que identifica a(s) parte(s)  interessada(s) no resultado.</t>
        </r>
      </text>
    </comment>
    <comment ref="S6" authorId="0" shapeId="0" xr:uid="{12092735-2757-4993-8D3E-B054E95C94C1}">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E996F03C-835D-4DDD-B7BB-0D0087B0FE74}">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0DB20E72-AAB3-4493-9564-A98CF4C27ECA}">
      <text>
        <r>
          <rPr>
            <b/>
            <sz val="9"/>
            <color indexed="81"/>
            <rFont val="Tahoma"/>
            <family val="2"/>
          </rPr>
          <t>% parcial COMPROMISSO</t>
        </r>
        <r>
          <rPr>
            <sz val="9"/>
            <color indexed="81"/>
            <rFont val="Tahoma"/>
            <family val="2"/>
          </rPr>
          <t xml:space="preserve">
</t>
        </r>
      </text>
    </comment>
    <comment ref="V6" authorId="0" shapeId="0" xr:uid="{5FA219CB-826A-4C22-ADEF-9C661F6F4F59}">
      <text>
        <r>
          <rPr>
            <sz val="10"/>
            <color indexed="81"/>
            <rFont val="Tahoma"/>
            <family val="2"/>
          </rPr>
          <t xml:space="preserve">0: Não há meta futura definida para o indicador estratégico 
1: Há meta baseada em expectativa não justificada
2: Potencial de alcance de meta justificado genericamente
3: Potencial de alcance de meta muito bem justificado por estudos, projeções ou avaliações
Indicadores do negócio e estratégicos possuem metas com explicações suficientes sobre o potencial de seu alcance, considerando o nível atual, planos e cenários. Essas explicações devem estar explícitas e sustentadas por estudos demonstráveis. </t>
        </r>
      </text>
    </comment>
    <comment ref="W6" authorId="1" shapeId="0" xr:uid="{233DA263-3BDE-4D44-BBA6-918A859F2089}">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0000000-0006-0000-0A00-00001C000000}">
      <text>
        <r>
          <rPr>
            <b/>
            <sz val="9"/>
            <color indexed="81"/>
            <rFont val="Tahoma"/>
            <family val="2"/>
          </rPr>
          <t>% parcial POTENCIAL</t>
        </r>
      </text>
    </comment>
    <comment ref="Y6" authorId="1" shapeId="0" xr:uid="{00000000-0006-0000-0A00-00001D00000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00000000-0006-0000-0A00-00001E00000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00000000-0006-0000-0A00-00001F00000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00000000-0006-0000-0A00-000020000000}">
      <text>
        <r>
          <rPr>
            <sz val="10"/>
            <color indexed="81"/>
            <rFont val="Tahoma"/>
            <family val="2"/>
          </rPr>
          <t xml:space="preserve">Valor do indicador no último ciclo.
</t>
        </r>
      </text>
    </comment>
    <comment ref="AD6" authorId="0" shapeId="0" xr:uid="{00000000-0006-0000-0A00-00002100000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00000000-0006-0000-0A00-000022000000}">
      <text>
        <r>
          <rPr>
            <sz val="10"/>
            <color indexed="81"/>
            <rFont val="Tahoma"/>
            <family val="2"/>
          </rPr>
          <t xml:space="preserve">Requisito de Parte Interessada é um Valor esperado (MT) por ela ou uma Evolução favorável (EF) esperada por ela no último exercício.
</t>
        </r>
      </text>
    </comment>
    <comment ref="AF6" authorId="0" shapeId="0" xr:uid="{00000000-0006-0000-0A00-000023000000}">
      <text>
        <r>
          <rPr>
            <sz val="10"/>
            <color indexed="81"/>
            <rFont val="Tahoma"/>
            <family val="2"/>
          </rPr>
          <t>Adicionar explicações sobre o indicador ou sua situação se necessário.</t>
        </r>
      </text>
    </comment>
    <comment ref="AG6" authorId="0" shapeId="0" xr:uid="{00000000-0006-0000-0A00-000024000000}">
      <text>
        <r>
          <rPr>
            <sz val="11"/>
            <color indexed="81"/>
            <rFont val="Tahoma"/>
            <family val="2"/>
          </rPr>
          <t>Ligar a um Processo dos Critérios de 1 a 7 se desejar.</t>
        </r>
      </text>
    </comment>
    <comment ref="A9" authorId="1" shapeId="0" xr:uid="{00000000-0006-0000-0A00-000025000000}">
      <text>
        <r>
          <rPr>
            <sz val="11"/>
            <color indexed="81"/>
            <rFont val="Tahoma"/>
            <family val="2"/>
          </rPr>
          <t>IMPORTANTE:
Linhas para informar indicador. Devem ter o valor "8" para serem consideradas na avaliação.</t>
        </r>
      </text>
    </comment>
    <comment ref="A10" authorId="1" shapeId="0" xr:uid="{00000000-0006-0000-0A00-000026000000}">
      <text>
        <r>
          <rPr>
            <sz val="11"/>
            <color indexed="81"/>
            <rFont val="Tahoma"/>
            <family val="2"/>
          </rPr>
          <t>IMPORTANTE:
Linhas para informar indicador. Devem ter o valor "8" para serem consideradas na avaliação.</t>
        </r>
      </text>
    </comment>
    <comment ref="A11" authorId="1" shapeId="0" xr:uid="{00000000-0006-0000-0A00-000027000000}">
      <text>
        <r>
          <rPr>
            <sz val="11"/>
            <color indexed="81"/>
            <rFont val="Tahoma"/>
            <family val="2"/>
          </rPr>
          <t>IMPORTANTE:
Linhas para informar indicador. Devem ter o valor "8" para serem consideradas na avaliação.</t>
        </r>
      </text>
    </comment>
    <comment ref="A12" authorId="1" shapeId="0" xr:uid="{00000000-0006-0000-0A00-000028000000}">
      <text>
        <r>
          <rPr>
            <sz val="11"/>
            <color indexed="81"/>
            <rFont val="Tahoma"/>
            <family val="2"/>
          </rPr>
          <t>IMPORTANTE:
Linhas para informar indicador. Devem ter o valor "8" para serem consideradas na avaliação.</t>
        </r>
      </text>
    </comment>
    <comment ref="A13" authorId="1" shapeId="0" xr:uid="{00000000-0006-0000-0A00-000029000000}">
      <text>
        <r>
          <rPr>
            <sz val="11"/>
            <color indexed="81"/>
            <rFont val="Tahoma"/>
            <family val="2"/>
          </rPr>
          <t>IMPORTANTE:
Linhas para informar indicador. Devem ter o valor "8" para serem consideradas na avaliação.</t>
        </r>
      </text>
    </comment>
    <comment ref="A14" authorId="1" shapeId="0" xr:uid="{00000000-0006-0000-0A00-00002A000000}">
      <text>
        <r>
          <rPr>
            <sz val="11"/>
            <color indexed="81"/>
            <rFont val="Tahoma"/>
            <family val="2"/>
          </rPr>
          <t>IMPORTANTE:
Linhas para informar indicador. Devem ter o valor "8" para serem consideradas na avaliação.</t>
        </r>
      </text>
    </comment>
    <comment ref="A15" authorId="1" shapeId="0" xr:uid="{00000000-0006-0000-0A00-00002B000000}">
      <text>
        <r>
          <rPr>
            <sz val="11"/>
            <color indexed="81"/>
            <rFont val="Tahoma"/>
            <family val="2"/>
          </rPr>
          <t>IMPORTANTE:
Linhas para informar indicador. Devem ter o valor "8" para serem consideradas na avaliação.</t>
        </r>
      </text>
    </comment>
    <comment ref="A16" authorId="1" shapeId="0" xr:uid="{00000000-0006-0000-0A00-00002C000000}">
      <text>
        <r>
          <rPr>
            <sz val="11"/>
            <color indexed="81"/>
            <rFont val="Tahoma"/>
            <family val="2"/>
          </rPr>
          <t>IMPORTANTE:
Linhas para informar indicador. Devem ter o valor "8" para serem consideradas na avaliação.</t>
        </r>
      </text>
    </comment>
    <comment ref="A17" authorId="1" shapeId="0" xr:uid="{00000000-0006-0000-0A00-00002D000000}">
      <text>
        <r>
          <rPr>
            <sz val="11"/>
            <color indexed="81"/>
            <rFont val="Tahoma"/>
            <family val="2"/>
          </rPr>
          <t>IMPORTANTE:
Linhas para informar indicador. Devem ter o valor "8" para serem consideradas na avaliação.</t>
        </r>
      </text>
    </comment>
    <comment ref="A18" authorId="1" shapeId="0" xr:uid="{00000000-0006-0000-0A00-00002E000000}">
      <text>
        <r>
          <rPr>
            <sz val="11"/>
            <color indexed="81"/>
            <rFont val="Tahoma"/>
            <family val="2"/>
          </rPr>
          <t>IMPORTANTE:
Linhas para informar indicador. Devem ter o valor "8" para serem consideradas na avaliação.</t>
        </r>
      </text>
    </comment>
    <comment ref="A19" authorId="1" shapeId="0" xr:uid="{92BB85E9-0542-4E95-95D0-2074CBF37C82}">
      <text>
        <r>
          <rPr>
            <sz val="11"/>
            <color indexed="81"/>
            <rFont val="Tahoma"/>
            <family val="2"/>
          </rPr>
          <t>IMPORTANTE:
Linhas para informar indicador. Devem ter o valor "8" para serem consideradas na avaliação.</t>
        </r>
      </text>
    </comment>
    <comment ref="A20" authorId="1" shapeId="0" xr:uid="{412CDF7A-00A5-49D7-A24B-18B81CF01183}">
      <text>
        <r>
          <rPr>
            <sz val="11"/>
            <color indexed="81"/>
            <rFont val="Tahoma"/>
            <family val="2"/>
          </rPr>
          <t>IMPORTANTE:
Linhas para informar indicador. Devem ter o valor "8" para serem consideradas na avaliação.</t>
        </r>
      </text>
    </comment>
    <comment ref="A21" authorId="1" shapeId="0" xr:uid="{2BC311D9-654B-46A3-A555-F4F0B3EDFB14}">
      <text>
        <r>
          <rPr>
            <sz val="11"/>
            <color indexed="81"/>
            <rFont val="Tahoma"/>
            <family val="2"/>
          </rPr>
          <t>IMPORTANTE:
Linhas para informar indicador. Devem ter o valor "8" para serem consideradas na avaliação.</t>
        </r>
      </text>
    </comment>
    <comment ref="A22" authorId="1" shapeId="0" xr:uid="{392F9C94-AEAD-43D0-B063-288BF9C02DEC}">
      <text>
        <r>
          <rPr>
            <sz val="11"/>
            <color indexed="81"/>
            <rFont val="Tahoma"/>
            <family val="2"/>
          </rPr>
          <t>IMPORTANTE:
Linhas para informar indicador. Devem ter o valor "8" para serem consideradas na avaliação.</t>
        </r>
      </text>
    </comment>
    <comment ref="A23" authorId="1" shapeId="0" xr:uid="{F1D9EAEF-23B5-4CBE-A8DB-7B425B50C51C}">
      <text>
        <r>
          <rPr>
            <sz val="11"/>
            <color indexed="81"/>
            <rFont val="Tahoma"/>
            <family val="2"/>
          </rPr>
          <t>IMPORTANTE:
Linhas para informar indicador. Devem ter o valor "8" para serem consideradas na avaliação.</t>
        </r>
      </text>
    </comment>
    <comment ref="A24" authorId="1" shapeId="0" xr:uid="{6D9E76A4-FBC5-4505-A957-BD5D13D3259E}">
      <text>
        <r>
          <rPr>
            <sz val="11"/>
            <color indexed="81"/>
            <rFont val="Tahoma"/>
            <family val="2"/>
          </rPr>
          <t>IMPORTANTE:
Linhas para informar indicador. Devem ter o valor "8" para serem consideradas na avaliação.</t>
        </r>
      </text>
    </comment>
    <comment ref="A25" authorId="1" shapeId="0" xr:uid="{CEA1C1EE-B626-4FC5-80E5-B7061CE59802}">
      <text>
        <r>
          <rPr>
            <sz val="11"/>
            <color indexed="81"/>
            <rFont val="Tahoma"/>
            <family val="2"/>
          </rPr>
          <t>IMPORTANTE:
Linhas para informar indicador. Devem ter o valor "8" para serem consideradas na avaliação.</t>
        </r>
      </text>
    </comment>
    <comment ref="A26" authorId="1" shapeId="0" xr:uid="{692031B7-EF2F-4C54-9B8D-2D7F439D2A18}">
      <text>
        <r>
          <rPr>
            <sz val="11"/>
            <color indexed="81"/>
            <rFont val="Tahoma"/>
            <family val="2"/>
          </rPr>
          <t>IMPORTANTE:
Linhas para informar indicador. Devem ter o valor "8" para serem consideradas na avaliação.</t>
        </r>
      </text>
    </comment>
    <comment ref="A27" authorId="1" shapeId="0" xr:uid="{C8681E8C-3243-419A-93D4-6CB1A2E44160}">
      <text>
        <r>
          <rPr>
            <sz val="11"/>
            <color indexed="81"/>
            <rFont val="Tahoma"/>
            <family val="2"/>
          </rPr>
          <t>IMPORTANTE:
Linhas para informar indicador. Devem ter o valor "8" para serem consideradas na avaliação.</t>
        </r>
      </text>
    </comment>
    <comment ref="A28" authorId="1" shapeId="0" xr:uid="{00000000-0006-0000-0A00-00002F000000}">
      <text>
        <r>
          <rPr>
            <sz val="11"/>
            <color indexed="81"/>
            <rFont val="Tahoma"/>
            <family val="2"/>
          </rPr>
          <t>IMPORTANTE:
Linhas para informar indicador. Devem ter o valor "8" para serem consideradas na avaliação.</t>
        </r>
      </text>
    </comment>
    <comment ref="A29" authorId="1" shapeId="0" xr:uid="{00000000-0006-0000-0A00-000030000000}">
      <text>
        <r>
          <rPr>
            <sz val="11"/>
            <color indexed="81"/>
            <rFont val="Tahoma"/>
            <family val="2"/>
          </rPr>
          <t>IMPORTANTE:
Linhas para informar indicador. Devem ter o valor "8" para serem consideradas na avaliação.</t>
        </r>
      </text>
    </comment>
    <comment ref="A30" authorId="1" shapeId="0" xr:uid="{00000000-0006-0000-0A00-000031000000}">
      <text>
        <r>
          <rPr>
            <sz val="11"/>
            <color indexed="81"/>
            <rFont val="Tahoma"/>
            <family val="2"/>
          </rPr>
          <t>IMPORTANTE:
Linhas para informar indicador. Devem ter o valor "8" para serem consideradas na avaliação.</t>
        </r>
      </text>
    </comment>
    <comment ref="A31" authorId="1" shapeId="0" xr:uid="{00000000-0006-0000-0A00-000032000000}">
      <text>
        <r>
          <rPr>
            <sz val="11"/>
            <color indexed="81"/>
            <rFont val="Tahoma"/>
            <family val="2"/>
          </rPr>
          <t>IMPORTANTE:
Linhas para informar indicador. Devem ter o valor "8" para serem consideradas na avaliação.</t>
        </r>
      </text>
    </comment>
    <comment ref="A32" authorId="1" shapeId="0" xr:uid="{00000000-0006-0000-0A00-000033000000}">
      <text>
        <r>
          <rPr>
            <sz val="11"/>
            <color indexed="81"/>
            <rFont val="Tahoma"/>
            <family val="2"/>
          </rPr>
          <t>IMPORTANTE:
Linhas para informar indicador. Devem ter o valor "8" para serem consideradas na avaliação.</t>
        </r>
      </text>
    </comment>
    <comment ref="A33" authorId="1" shapeId="0" xr:uid="{00000000-0006-0000-0A00-000034000000}">
      <text>
        <r>
          <rPr>
            <sz val="11"/>
            <color indexed="81"/>
            <rFont val="Tahoma"/>
            <family val="2"/>
          </rPr>
          <t>IMPORTANTE:
Linhas para informar indicador. Devem ter o valor "8" para serem consideradas na avaliação.</t>
        </r>
      </text>
    </comment>
    <comment ref="A34" authorId="1" shapeId="0" xr:uid="{F9BAE96F-9D42-4B46-84A4-009FD947ED24}">
      <text>
        <r>
          <rPr>
            <sz val="11"/>
            <color indexed="81"/>
            <rFont val="Tahoma"/>
            <family val="2"/>
          </rPr>
          <t>IMPORTANTE:
Linhas para informar indicador. Devem ter o valor "8" para serem consideradas na avaliação.</t>
        </r>
      </text>
    </comment>
    <comment ref="A35" authorId="1" shapeId="0" xr:uid="{F314A06C-C751-49B4-81DD-4B244B1D316F}">
      <text>
        <r>
          <rPr>
            <sz val="11"/>
            <color indexed="81"/>
            <rFont val="Tahoma"/>
            <family val="2"/>
          </rPr>
          <t>IMPORTANTE:
Linhas para informar indicador. Devem ter o valor "8" para serem consideradas na avaliação.</t>
        </r>
      </text>
    </comment>
    <comment ref="A36" authorId="1" shapeId="0" xr:uid="{9CA840A9-9C47-41EB-A8C1-F940AF699817}">
      <text>
        <r>
          <rPr>
            <sz val="11"/>
            <color indexed="81"/>
            <rFont val="Tahoma"/>
            <family val="2"/>
          </rPr>
          <t>IMPORTANTE:
Linhas para informar indicador. Devem ter o valor "8" para serem consideradas na avaliação.</t>
        </r>
      </text>
    </comment>
    <comment ref="A37" authorId="1" shapeId="0" xr:uid="{7D921B5B-9DF9-403E-8D29-9E6F46246D25}">
      <text>
        <r>
          <rPr>
            <sz val="11"/>
            <color indexed="81"/>
            <rFont val="Tahoma"/>
            <family val="2"/>
          </rPr>
          <t>IMPORTANTE:
Linhas para informar indicador. Devem ter o valor "8" para serem consideradas na avaliação.</t>
        </r>
      </text>
    </comment>
    <comment ref="A38" authorId="1" shapeId="0" xr:uid="{6D32D622-4A71-42C3-A044-D8C3674868B9}">
      <text>
        <r>
          <rPr>
            <sz val="11"/>
            <color indexed="81"/>
            <rFont val="Tahoma"/>
            <family val="2"/>
          </rPr>
          <t>IMPORTANTE:
Linhas para informar indicador. Devem ter o valor "8" para serem consideradas na avaliação.</t>
        </r>
      </text>
    </comment>
    <comment ref="A39" authorId="1" shapeId="0" xr:uid="{BDCD6781-352A-4FB0-BA74-FC7992347728}">
      <text>
        <r>
          <rPr>
            <sz val="11"/>
            <color indexed="81"/>
            <rFont val="Tahoma"/>
            <family val="2"/>
          </rPr>
          <t>IMPORTANTE:
Linhas para informar indicador. Devem ter o valor "8" para serem consideradas na avaliação.</t>
        </r>
      </text>
    </comment>
    <comment ref="A40" authorId="1" shapeId="0" xr:uid="{DDD573CD-ACD3-4745-8D95-B994CD94409D}">
      <text>
        <r>
          <rPr>
            <sz val="11"/>
            <color indexed="81"/>
            <rFont val="Tahoma"/>
            <family val="2"/>
          </rPr>
          <t>IMPORTANTE:
Linhas para informar indicador. Devem ter o valor "8" para serem consideradas na avaliação.</t>
        </r>
      </text>
    </comment>
    <comment ref="A41" authorId="1" shapeId="0" xr:uid="{5D1CCA4E-E5CF-45E6-9885-8690EA9164DF}">
      <text>
        <r>
          <rPr>
            <sz val="11"/>
            <color indexed="81"/>
            <rFont val="Tahoma"/>
            <family val="2"/>
          </rPr>
          <t>IMPORTANTE:
Linhas para informar indicador. Devem ter o valor "8" para serem consideradas na avaliação.</t>
        </r>
      </text>
    </comment>
    <comment ref="A42" authorId="1" shapeId="0" xr:uid="{D288316C-1441-4473-A365-46ADE2CCC7DC}">
      <text>
        <r>
          <rPr>
            <sz val="11"/>
            <color indexed="81"/>
            <rFont val="Tahoma"/>
            <family val="2"/>
          </rPr>
          <t>IMPORTANTE:
Linhas para informar indicador. Devem ter o valor "8" para serem consideradas na avaliação.</t>
        </r>
      </text>
    </comment>
    <comment ref="C45" authorId="1" shapeId="0" xr:uid="{00000000-0006-0000-0A00-00003500000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50" authorId="1" shapeId="0" xr:uid="{00000000-0006-0000-0A00-000036000000}">
      <text>
        <r>
          <rPr>
            <sz val="9"/>
            <color indexed="81"/>
            <rFont val="Tahoma"/>
            <family val="2"/>
          </rPr>
          <t>Inserir linhas se necessário
PF Ponto Forte
OM Oportunidade para Melhoria</t>
        </r>
      </text>
    </comment>
    <comment ref="B51" authorId="1" shapeId="0" xr:uid="{00000000-0006-0000-0A00-000037000000}">
      <text>
        <r>
          <rPr>
            <sz val="9"/>
            <color indexed="81"/>
            <rFont val="Tahoma"/>
            <family val="2"/>
          </rPr>
          <t>Inserir linhas se necessário
PF Ponto Forte
OM Oportunidade para Melhoria</t>
        </r>
      </text>
    </comment>
    <comment ref="B52" authorId="1" shapeId="0" xr:uid="{00000000-0006-0000-0A00-000038000000}">
      <text>
        <r>
          <rPr>
            <sz val="9"/>
            <color indexed="81"/>
            <rFont val="Tahoma"/>
            <family val="2"/>
          </rPr>
          <t>Inserir linhas se necessário
PF Ponto Forte
OM Oportunidade para Melhoria</t>
        </r>
      </text>
    </comment>
    <comment ref="B53" authorId="1" shapeId="0" xr:uid="{00000000-0006-0000-0A00-000039000000}">
      <text>
        <r>
          <rPr>
            <sz val="9"/>
            <color indexed="81"/>
            <rFont val="Tahoma"/>
            <family val="2"/>
          </rPr>
          <t>Inserir linhas se necessário
PF Ponto Forte
OM Oportunidade para Melhoria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3D85BF83-F854-4DF1-A320-CF8FAE0EF3AF}">
      <text>
        <r>
          <rPr>
            <b/>
            <sz val="9"/>
            <color indexed="81"/>
            <rFont val="Tahoma"/>
            <family val="2"/>
          </rPr>
          <t xml:space="preserve">O sistema de pontuação é automático com base nos fatores avaliados em Evolução, Competitividade e Compromisso.
</t>
        </r>
      </text>
    </comment>
    <comment ref="A4" authorId="1" shapeId="0" xr:uid="{F7D5DD8E-1C90-4BDE-9227-09F3A6157E32}">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00000000-0006-0000-0B00-000003000000}">
      <text>
        <r>
          <rPr>
            <b/>
            <sz val="10"/>
            <color indexed="81"/>
            <rFont val="Tahoma"/>
            <family val="2"/>
          </rPr>
          <t>BARRA DE PROGRESSO DO ITEM
Calculado com base nos fatores exigíveis para o Tipo de indicador.</t>
        </r>
      </text>
    </comment>
    <comment ref="G4" authorId="0" shapeId="0" xr:uid="{251ACDEF-086B-4D61-9766-1E0C470F3151}">
      <text>
        <r>
          <rPr>
            <sz val="10"/>
            <color indexed="81"/>
            <rFont val="Tahoma"/>
            <family val="2"/>
          </rPr>
          <t>Refere-se à demonstração de melhoria do desempenho ou estabilização em bom nível.</t>
        </r>
      </text>
    </comment>
    <comment ref="J4" authorId="0" shapeId="0" xr:uid="{D7BD5393-C79A-47F4-B30C-DF3080AB3E27}">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D179D656-A0D3-40A2-9836-8D9CD32D40F0}">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67C5DD8B-A8C0-4B5B-9EC6-0ECD0C5C7F75}">
      <text>
        <r>
          <rPr>
            <sz val="10"/>
            <color indexed="81"/>
            <rFont val="Tahoma"/>
            <family val="2"/>
          </rPr>
          <t xml:space="preserve">Somente para indicadores Estratégicos, incluindo do Negócio. 
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C6" authorId="0" shapeId="0" xr:uid="{EE8230A6-79D9-4459-AE28-AD2E3B9C4E51}">
      <text>
        <r>
          <rPr>
            <sz val="10"/>
            <color indexed="81"/>
            <rFont val="Tahoma"/>
            <family val="2"/>
          </rPr>
          <t>Uso livre. Opcionalmente, informar nesta coluna a área  responsável.</t>
        </r>
      </text>
    </comment>
    <comment ref="D6" authorId="0" shapeId="0" xr:uid="{CB098F84-B97E-45ED-B759-287E24EAEF00}">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8C5997A2-D5E6-470E-BF6B-AAD541F0B887}">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6337E4A6-9955-4ECD-8477-61A1A679C7C7}">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6DAE40E6-994E-43F5-B0B7-A16CFA57D844}">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ABA055C1-1E77-4456-927F-96BB11B9EE8E}">
      <text>
        <r>
          <rPr>
            <b/>
            <sz val="10"/>
            <color indexed="81"/>
            <rFont val="Tahoma"/>
            <family val="2"/>
          </rPr>
          <t>% parcial EVOLUÇÃO</t>
        </r>
      </text>
    </comment>
    <comment ref="J6" authorId="0" shapeId="0" xr:uid="{52E7F093-BBE5-449D-8CB2-C5F5619654D0}">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B1BF49F8-5248-4DB2-9A47-3563C1732DF9}">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D2F88CB9-5798-477A-BAEA-0095F914C510}">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4A1862FA-BB21-4575-9113-4DD63ECD3D88}">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69CD2202-2AAB-4C17-91FD-8D4D2C43C43A}">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1B35CF70-0D73-47D6-8C64-9C40E3D67AED}">
      <text>
        <r>
          <rPr>
            <b/>
            <sz val="9"/>
            <color indexed="81"/>
            <rFont val="Tahoma"/>
            <family val="2"/>
          </rPr>
          <t>% parcial COMPETITIVIDADE</t>
        </r>
      </text>
    </comment>
    <comment ref="P6" authorId="0" shapeId="0" xr:uid="{6F704174-3D27-4B80-9B4A-FD8A78301F32}">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C743B14B-B849-402D-BF23-F916C0981385}">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C858445B-9F3B-42CF-B42E-6615386913A9}">
      <text>
        <r>
          <rPr>
            <sz val="10"/>
            <color indexed="81"/>
            <rFont val="Tahoma"/>
            <family val="2"/>
          </rPr>
          <t>Informar o nome ou sigla que identifica a(s) parte(s)  interessada(s) no resultado.</t>
        </r>
      </text>
    </comment>
    <comment ref="S6" authorId="0" shapeId="0" xr:uid="{2134B472-8E1A-44C4-96D5-0901FFC3C494}">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669765F2-F308-4B21-8E71-CEF5CF738FE6}">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7CECFFD4-2154-45B0-AEC0-8783BB6626F6}">
      <text>
        <r>
          <rPr>
            <b/>
            <sz val="9"/>
            <color indexed="81"/>
            <rFont val="Tahoma"/>
            <family val="2"/>
          </rPr>
          <t>% parcial COMPROMISSO</t>
        </r>
        <r>
          <rPr>
            <sz val="9"/>
            <color indexed="81"/>
            <rFont val="Tahoma"/>
            <family val="2"/>
          </rPr>
          <t xml:space="preserve">
</t>
        </r>
      </text>
    </comment>
    <comment ref="V6" authorId="0" shapeId="0" xr:uid="{2A7CE74E-F4E6-4780-8ACC-E2D4825CF1B8}">
      <text>
        <r>
          <rPr>
            <sz val="10"/>
            <color indexed="81"/>
            <rFont val="Tahoma"/>
            <family val="2"/>
          </rPr>
          <t xml:space="preserve">0: Não há meta futura definida para o indicador estratégico 
1: Há meta baseada em expectativa não justificada
2: Potencial de alcance de meta justificado genericamente
3: Potencial de alcance de meta muito bem justificado por estudos, projeções ou avaliações
Indicadores do negócio e estratégicos possuem metas com explicações suficientes sobre o potencial de seu alcance, considerando o nível atual, planos e cenários. Essas explicações devem estar explícitas e sustentadas por estudos demonstráveis. </t>
        </r>
      </text>
    </comment>
    <comment ref="W6" authorId="1" shapeId="0" xr:uid="{A6E969A3-76F2-489D-8683-A2C2DB4059CB}">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0000000-0006-0000-0B00-00001C000000}">
      <text>
        <r>
          <rPr>
            <b/>
            <sz val="9"/>
            <color indexed="81"/>
            <rFont val="Tahoma"/>
            <family val="2"/>
          </rPr>
          <t>% parcial POTENCIAL</t>
        </r>
      </text>
    </comment>
    <comment ref="Y6" authorId="1" shapeId="0" xr:uid="{00000000-0006-0000-0B00-00001D00000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00000000-0006-0000-0B00-00001E00000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00000000-0006-0000-0B00-00001F00000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00000000-0006-0000-0B00-000020000000}">
      <text>
        <r>
          <rPr>
            <sz val="10"/>
            <color indexed="81"/>
            <rFont val="Tahoma"/>
            <family val="2"/>
          </rPr>
          <t xml:space="preserve">Valor do indicador no último ciclo.
</t>
        </r>
      </text>
    </comment>
    <comment ref="AD6" authorId="0" shapeId="0" xr:uid="{00000000-0006-0000-0B00-00002100000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00000000-0006-0000-0B00-000022000000}">
      <text>
        <r>
          <rPr>
            <sz val="10"/>
            <color indexed="81"/>
            <rFont val="Tahoma"/>
            <family val="2"/>
          </rPr>
          <t xml:space="preserve">Requisito de Parte Interessada é um Valor esperado (MT) por ela ou uma Evolução favorável (EF) esperada por ela no último exercício.
</t>
        </r>
      </text>
    </comment>
    <comment ref="AF6" authorId="0" shapeId="0" xr:uid="{00000000-0006-0000-0B00-000023000000}">
      <text>
        <r>
          <rPr>
            <sz val="10"/>
            <color indexed="81"/>
            <rFont val="Tahoma"/>
            <family val="2"/>
          </rPr>
          <t>Adicionar explicações sobre o indicador ou sua situação se necessário.</t>
        </r>
      </text>
    </comment>
    <comment ref="AG6" authorId="0" shapeId="0" xr:uid="{00000000-0006-0000-0B00-000024000000}">
      <text>
        <r>
          <rPr>
            <sz val="11"/>
            <color indexed="81"/>
            <rFont val="Tahoma"/>
            <family val="2"/>
          </rPr>
          <t>Ligar a um Processo dos Critérios de 1 a 7 se desejar.</t>
        </r>
      </text>
    </comment>
    <comment ref="A9" authorId="1" shapeId="0" xr:uid="{00000000-0006-0000-0B00-000025000000}">
      <text>
        <r>
          <rPr>
            <sz val="11"/>
            <color indexed="81"/>
            <rFont val="Tahoma"/>
            <family val="2"/>
          </rPr>
          <t>IMPORTANTE:
Linhas para informar indicador. Devem ter o valor "8" para serem consideradas na avaliação.</t>
        </r>
      </text>
    </comment>
    <comment ref="A10" authorId="1" shapeId="0" xr:uid="{00000000-0006-0000-0B00-000026000000}">
      <text>
        <r>
          <rPr>
            <sz val="11"/>
            <color indexed="81"/>
            <rFont val="Tahoma"/>
            <family val="2"/>
          </rPr>
          <t>IMPORTANTE:
Linhas para informar indicador. Devem ter o valor "8" para serem consideradas na avaliação.</t>
        </r>
      </text>
    </comment>
    <comment ref="A11" authorId="1" shapeId="0" xr:uid="{00000000-0006-0000-0B00-000027000000}">
      <text>
        <r>
          <rPr>
            <sz val="11"/>
            <color indexed="81"/>
            <rFont val="Tahoma"/>
            <family val="2"/>
          </rPr>
          <t>IMPORTANTE:
Linhas para informar indicador. Devem ter o valor "8" para serem consideradas na avaliação.</t>
        </r>
      </text>
    </comment>
    <comment ref="A12" authorId="1" shapeId="0" xr:uid="{00000000-0006-0000-0B00-000028000000}">
      <text>
        <r>
          <rPr>
            <sz val="11"/>
            <color indexed="81"/>
            <rFont val="Tahoma"/>
            <family val="2"/>
          </rPr>
          <t>IMPORTANTE:
Linhas para informar indicador. Devem ter o valor "8" para serem consideradas na avaliação.</t>
        </r>
      </text>
    </comment>
    <comment ref="A13" authorId="1" shapeId="0" xr:uid="{00000000-0006-0000-0B00-000029000000}">
      <text>
        <r>
          <rPr>
            <sz val="11"/>
            <color indexed="81"/>
            <rFont val="Tahoma"/>
            <family val="2"/>
          </rPr>
          <t>IMPORTANTE:
Linhas para informar indicador. Devem ter o valor "8" para serem consideradas na avaliação.</t>
        </r>
      </text>
    </comment>
    <comment ref="A14" authorId="1" shapeId="0" xr:uid="{00000000-0006-0000-0B00-00002A000000}">
      <text>
        <r>
          <rPr>
            <sz val="11"/>
            <color indexed="81"/>
            <rFont val="Tahoma"/>
            <family val="2"/>
          </rPr>
          <t>IMPORTANTE:
Linhas para informar indicador. Devem ter o valor "8" para serem consideradas na avaliação.</t>
        </r>
      </text>
    </comment>
    <comment ref="A15" authorId="1" shapeId="0" xr:uid="{00000000-0006-0000-0B00-00002B000000}">
      <text>
        <r>
          <rPr>
            <sz val="11"/>
            <color indexed="81"/>
            <rFont val="Tahoma"/>
            <family val="2"/>
          </rPr>
          <t>IMPORTANTE:
Linhas para informar indicador. Devem ter o valor "8" para serem consideradas na avaliação.</t>
        </r>
      </text>
    </comment>
    <comment ref="A16" authorId="1" shapeId="0" xr:uid="{00000000-0006-0000-0B00-00002C000000}">
      <text>
        <r>
          <rPr>
            <sz val="11"/>
            <color indexed="81"/>
            <rFont val="Tahoma"/>
            <family val="2"/>
          </rPr>
          <t>IMPORTANTE:
Linhas para informar indicador. Devem ter o valor "8" para serem consideradas na avaliação.</t>
        </r>
      </text>
    </comment>
    <comment ref="A17" authorId="1" shapeId="0" xr:uid="{00000000-0006-0000-0B00-00002D000000}">
      <text>
        <r>
          <rPr>
            <sz val="11"/>
            <color indexed="81"/>
            <rFont val="Tahoma"/>
            <family val="2"/>
          </rPr>
          <t>IMPORTANTE:
Linhas para informar indicador. Devem ter o valor "8" para serem consideradas na avaliação.</t>
        </r>
      </text>
    </comment>
    <comment ref="A18" authorId="1" shapeId="0" xr:uid="{00000000-0006-0000-0B00-00002E000000}">
      <text>
        <r>
          <rPr>
            <sz val="11"/>
            <color indexed="81"/>
            <rFont val="Tahoma"/>
            <family val="2"/>
          </rPr>
          <t>IMPORTANTE:
Linhas para informar indicador. Devem ter o valor "8" para serem consideradas na avaliação.</t>
        </r>
      </text>
    </comment>
    <comment ref="A19" authorId="1" shapeId="0" xr:uid="{9E38BD8D-F495-4220-A189-047CEA501FA6}">
      <text>
        <r>
          <rPr>
            <sz val="11"/>
            <color indexed="81"/>
            <rFont val="Tahoma"/>
            <family val="2"/>
          </rPr>
          <t>IMPORTANTE:
Linhas para informar indicador. Devem ter o valor "8" para serem consideradas na avaliação.</t>
        </r>
      </text>
    </comment>
    <comment ref="A20" authorId="1" shapeId="0" xr:uid="{AC0C27EE-8CF6-4D34-B9C5-B8EF93D762AA}">
      <text>
        <r>
          <rPr>
            <sz val="11"/>
            <color indexed="81"/>
            <rFont val="Tahoma"/>
            <family val="2"/>
          </rPr>
          <t>IMPORTANTE:
Linhas para informar indicador. Devem ter o valor "8" para serem consideradas na avaliação.</t>
        </r>
      </text>
    </comment>
    <comment ref="A21" authorId="1" shapeId="0" xr:uid="{D00D6F77-ED08-4333-9E72-E2487124A15F}">
      <text>
        <r>
          <rPr>
            <sz val="11"/>
            <color indexed="81"/>
            <rFont val="Tahoma"/>
            <family val="2"/>
          </rPr>
          <t>IMPORTANTE:
Linhas para informar indicador. Devem ter o valor "8" para serem consideradas na avaliação.</t>
        </r>
      </text>
    </comment>
    <comment ref="A22" authorId="1" shapeId="0" xr:uid="{84231A12-D45B-4A5A-8BFC-1BCB65A44999}">
      <text>
        <r>
          <rPr>
            <sz val="11"/>
            <color indexed="81"/>
            <rFont val="Tahoma"/>
            <family val="2"/>
          </rPr>
          <t>IMPORTANTE:
Linhas para informar indicador. Devem ter o valor "8" para serem consideradas na avaliação.</t>
        </r>
      </text>
    </comment>
    <comment ref="A23" authorId="1" shapeId="0" xr:uid="{233A9747-E468-48F5-AE79-F70B060FC77B}">
      <text>
        <r>
          <rPr>
            <sz val="11"/>
            <color indexed="81"/>
            <rFont val="Tahoma"/>
            <family val="2"/>
          </rPr>
          <t>IMPORTANTE:
Linhas para informar indicador. Devem ter o valor "8" para serem consideradas na avaliação.</t>
        </r>
      </text>
    </comment>
    <comment ref="A24" authorId="1" shapeId="0" xr:uid="{CFA2D68E-B064-421E-8FCE-52F07A29A03C}">
      <text>
        <r>
          <rPr>
            <sz val="11"/>
            <color indexed="81"/>
            <rFont val="Tahoma"/>
            <family val="2"/>
          </rPr>
          <t>IMPORTANTE:
Linhas para informar indicador. Devem ter o valor "8" para serem consideradas na avaliação.</t>
        </r>
      </text>
    </comment>
    <comment ref="A25" authorId="1" shapeId="0" xr:uid="{2D4D7DBB-611E-498A-829E-7F7E2C43F53B}">
      <text>
        <r>
          <rPr>
            <sz val="11"/>
            <color indexed="81"/>
            <rFont val="Tahoma"/>
            <family val="2"/>
          </rPr>
          <t>IMPORTANTE:
Linhas para informar indicador. Devem ter o valor "8" para serem consideradas na avaliação.</t>
        </r>
      </text>
    </comment>
    <comment ref="A26" authorId="1" shapeId="0" xr:uid="{70620F03-5249-428F-9C60-1882B9EE82EA}">
      <text>
        <r>
          <rPr>
            <sz val="11"/>
            <color indexed="81"/>
            <rFont val="Tahoma"/>
            <family val="2"/>
          </rPr>
          <t>IMPORTANTE:
Linhas para informar indicador. Devem ter o valor "8" para serem consideradas na avaliação.</t>
        </r>
      </text>
    </comment>
    <comment ref="A27" authorId="1" shapeId="0" xr:uid="{162BB4B0-D956-4F82-B89A-228EA4F211D5}">
      <text>
        <r>
          <rPr>
            <sz val="11"/>
            <color indexed="81"/>
            <rFont val="Tahoma"/>
            <family val="2"/>
          </rPr>
          <t>IMPORTANTE:
Linhas para informar indicador. Devem ter o valor "8" para serem consideradas na avaliação.</t>
        </r>
      </text>
    </comment>
    <comment ref="A28" authorId="1" shapeId="0" xr:uid="{00000000-0006-0000-0B00-00002F000000}">
      <text>
        <r>
          <rPr>
            <sz val="11"/>
            <color indexed="81"/>
            <rFont val="Tahoma"/>
            <family val="2"/>
          </rPr>
          <t>IMPORTANTE:
Linhas para informar indicador. Devem ter o valor "8" para serem consideradas na avaliação.</t>
        </r>
      </text>
    </comment>
    <comment ref="A29" authorId="1" shapeId="0" xr:uid="{00000000-0006-0000-0B00-000030000000}">
      <text>
        <r>
          <rPr>
            <sz val="11"/>
            <color indexed="81"/>
            <rFont val="Tahoma"/>
            <family val="2"/>
          </rPr>
          <t>IMPORTANTE:
Linhas para informar indicador. Devem ter o valor "8" para serem consideradas na avaliação.</t>
        </r>
      </text>
    </comment>
    <comment ref="A30" authorId="1" shapeId="0" xr:uid="{00000000-0006-0000-0B00-000031000000}">
      <text>
        <r>
          <rPr>
            <sz val="11"/>
            <color indexed="81"/>
            <rFont val="Tahoma"/>
            <family val="2"/>
          </rPr>
          <t>IMPORTANTE:
Linhas para informar indicador. Devem ter o valor "8" para serem consideradas na avaliação.</t>
        </r>
      </text>
    </comment>
    <comment ref="A31" authorId="1" shapeId="0" xr:uid="{00000000-0006-0000-0B00-000032000000}">
      <text>
        <r>
          <rPr>
            <sz val="11"/>
            <color indexed="81"/>
            <rFont val="Tahoma"/>
            <family val="2"/>
          </rPr>
          <t>IMPORTANTE:
Linhas para informar indicador. Devem ter o valor "8" para serem consideradas na avaliação.</t>
        </r>
      </text>
    </comment>
    <comment ref="A32" authorId="1" shapeId="0" xr:uid="{00000000-0006-0000-0B00-000033000000}">
      <text>
        <r>
          <rPr>
            <sz val="11"/>
            <color indexed="81"/>
            <rFont val="Tahoma"/>
            <family val="2"/>
          </rPr>
          <t>IMPORTANTE:
Linhas para informar indicador. Devem ter o valor "8" para serem consideradas na avaliação.</t>
        </r>
      </text>
    </comment>
    <comment ref="A33" authorId="1" shapeId="0" xr:uid="{00000000-0006-0000-0B00-000034000000}">
      <text>
        <r>
          <rPr>
            <sz val="11"/>
            <color indexed="81"/>
            <rFont val="Tahoma"/>
            <family val="2"/>
          </rPr>
          <t>IMPORTANTE:
Linhas para informar indicador. Devem ter o valor "8" para serem consideradas na avaliação.</t>
        </r>
      </text>
    </comment>
    <comment ref="A34" authorId="1" shapeId="0" xr:uid="{00000000-0006-0000-0B00-000035000000}">
      <text>
        <r>
          <rPr>
            <sz val="11"/>
            <color indexed="81"/>
            <rFont val="Tahoma"/>
            <family val="2"/>
          </rPr>
          <t>IMPORTANTE:
Linhas para informar indicador. Devem ter o valor "8" para serem consideradas na avaliação.</t>
        </r>
      </text>
    </comment>
    <comment ref="A35" authorId="1" shapeId="0" xr:uid="{00000000-0006-0000-0B00-000036000000}">
      <text>
        <r>
          <rPr>
            <sz val="11"/>
            <color indexed="81"/>
            <rFont val="Tahoma"/>
            <family val="2"/>
          </rPr>
          <t>IMPORTANTE:
Linhas para informar indicador. Devem ter o valor "8" para serem consideradas na avaliação.</t>
        </r>
      </text>
    </comment>
    <comment ref="A36" authorId="1" shapeId="0" xr:uid="{00000000-0006-0000-0B00-000037000000}">
      <text>
        <r>
          <rPr>
            <sz val="11"/>
            <color indexed="81"/>
            <rFont val="Tahoma"/>
            <family val="2"/>
          </rPr>
          <t>IMPORTANTE:
Linhas para informar indicador. Devem ter o valor "8" para serem consideradas na avaliação.</t>
        </r>
      </text>
    </comment>
    <comment ref="A37" authorId="1" shapeId="0" xr:uid="{00000000-0006-0000-0B00-000038000000}">
      <text>
        <r>
          <rPr>
            <sz val="11"/>
            <color indexed="81"/>
            <rFont val="Tahoma"/>
            <family val="2"/>
          </rPr>
          <t>IMPORTANTE:
Linhas para informar indicador. Devem ter o valor "8" para serem consideradas na avaliação.</t>
        </r>
      </text>
    </comment>
    <comment ref="A38" authorId="1" shapeId="0" xr:uid="{00000000-0006-0000-0B00-000039000000}">
      <text>
        <r>
          <rPr>
            <sz val="11"/>
            <color indexed="81"/>
            <rFont val="Tahoma"/>
            <family val="2"/>
          </rPr>
          <t>IMPORTANTE:
Linhas para informar indicador. Devem ter o valor "8" para serem consideradas na avaliação.</t>
        </r>
      </text>
    </comment>
    <comment ref="A39" authorId="1" shapeId="0" xr:uid="{00000000-0006-0000-0B00-00003A000000}">
      <text>
        <r>
          <rPr>
            <sz val="11"/>
            <color indexed="81"/>
            <rFont val="Tahoma"/>
            <family val="2"/>
          </rPr>
          <t>IMPORTANTE:
Linhas para informar indicador. Devem ter o valor "8" para serem consideradas na avaliação.</t>
        </r>
      </text>
    </comment>
    <comment ref="A40" authorId="1" shapeId="0" xr:uid="{FADEDD98-C77E-486D-B5A5-FB487988AD92}">
      <text>
        <r>
          <rPr>
            <sz val="11"/>
            <color indexed="81"/>
            <rFont val="Tahoma"/>
            <family val="2"/>
          </rPr>
          <t>IMPORTANTE:
Linhas para informar indicador. Devem ter o valor "8" para serem consideradas na avaliação.</t>
        </r>
      </text>
    </comment>
    <comment ref="A41" authorId="1" shapeId="0" xr:uid="{C25B6783-A158-4BA8-BCC5-869798E7527E}">
      <text>
        <r>
          <rPr>
            <sz val="11"/>
            <color indexed="81"/>
            <rFont val="Tahoma"/>
            <family val="2"/>
          </rPr>
          <t>IMPORTANTE:
Linhas para informar indicador. Devem ter o valor "8" para serem consideradas na avaliação.</t>
        </r>
      </text>
    </comment>
    <comment ref="A42" authorId="1" shapeId="0" xr:uid="{D839655F-0A50-48DE-AA0B-D76702158209}">
      <text>
        <r>
          <rPr>
            <sz val="11"/>
            <color indexed="81"/>
            <rFont val="Tahoma"/>
            <family val="2"/>
          </rPr>
          <t>IMPORTANTE:
Linhas para informar indicador. Devem ter o valor "8" para serem consideradas na avaliação.</t>
        </r>
      </text>
    </comment>
    <comment ref="A43" authorId="1" shapeId="0" xr:uid="{210DD868-BA54-43B5-B83B-DBE509181B99}">
      <text>
        <r>
          <rPr>
            <sz val="11"/>
            <color indexed="81"/>
            <rFont val="Tahoma"/>
            <family val="2"/>
          </rPr>
          <t>IMPORTANTE:
Linhas para informar indicador. Devem ter o valor "8" para serem consideradas na avaliação.</t>
        </r>
      </text>
    </comment>
    <comment ref="A44" authorId="1" shapeId="0" xr:uid="{F2DD568C-C620-411B-BA32-6E8F22C31AF6}">
      <text>
        <r>
          <rPr>
            <sz val="11"/>
            <color indexed="81"/>
            <rFont val="Tahoma"/>
            <family val="2"/>
          </rPr>
          <t>IMPORTANTE:
Linhas para informar indicador. Devem ter o valor "8" para serem consideradas na avaliação.</t>
        </r>
      </text>
    </comment>
    <comment ref="A45" authorId="1" shapeId="0" xr:uid="{4B08459B-A989-45C6-98D3-9C25A900BFE2}">
      <text>
        <r>
          <rPr>
            <sz val="11"/>
            <color indexed="81"/>
            <rFont val="Tahoma"/>
            <family val="2"/>
          </rPr>
          <t>IMPORTANTE:
Linhas para informar indicador. Devem ter o valor "8" para serem consideradas na avaliação.</t>
        </r>
      </text>
    </comment>
    <comment ref="A46" authorId="1" shapeId="0" xr:uid="{7C9E0895-CDAB-4C44-BECC-34D73069239E}">
      <text>
        <r>
          <rPr>
            <sz val="11"/>
            <color indexed="81"/>
            <rFont val="Tahoma"/>
            <family val="2"/>
          </rPr>
          <t>IMPORTANTE:
Linhas para informar indicador. Devem ter o valor "8" para serem consideradas na avaliação.</t>
        </r>
      </text>
    </comment>
    <comment ref="A47" authorId="1" shapeId="0" xr:uid="{BCF44EE2-52D2-4FE4-93C0-E9F35BDD8D58}">
      <text>
        <r>
          <rPr>
            <sz val="11"/>
            <color indexed="81"/>
            <rFont val="Tahoma"/>
            <family val="2"/>
          </rPr>
          <t>IMPORTANTE:
Linhas para informar indicador. Devem ter o valor "8" para serem consideradas na avaliação.</t>
        </r>
      </text>
    </comment>
    <comment ref="A48" authorId="1" shapeId="0" xr:uid="{2C76741E-03DE-4B2D-BAEE-67CF4B199985}">
      <text>
        <r>
          <rPr>
            <sz val="11"/>
            <color indexed="81"/>
            <rFont val="Tahoma"/>
            <family val="2"/>
          </rPr>
          <t>IMPORTANTE:
Linhas para informar indicador. Devem ter o valor "8" para serem consideradas na avaliação.</t>
        </r>
      </text>
    </comment>
    <comment ref="C51" authorId="1" shapeId="0" xr:uid="{00000000-0006-0000-0B00-00003B00000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56" authorId="1" shapeId="0" xr:uid="{00000000-0006-0000-0B00-00003C000000}">
      <text>
        <r>
          <rPr>
            <sz val="9"/>
            <color indexed="81"/>
            <rFont val="Tahoma"/>
            <family val="2"/>
          </rPr>
          <t>Inserir linhas se necessário
PF Ponto Forte
OM Oportunidade para Melhoria</t>
        </r>
      </text>
    </comment>
    <comment ref="B57" authorId="1" shapeId="0" xr:uid="{00000000-0006-0000-0B00-00003D000000}">
      <text>
        <r>
          <rPr>
            <sz val="9"/>
            <color indexed="81"/>
            <rFont val="Tahoma"/>
            <family val="2"/>
          </rPr>
          <t>Inserir linhas se necessário
PF Ponto Forte
OM Oportunidade para Melhoria</t>
        </r>
      </text>
    </comment>
    <comment ref="B58" authorId="1" shapeId="0" xr:uid="{00000000-0006-0000-0B00-00003E000000}">
      <text>
        <r>
          <rPr>
            <sz val="9"/>
            <color indexed="81"/>
            <rFont val="Tahoma"/>
            <family val="2"/>
          </rPr>
          <t>Inserir linhas se necessário
PF Ponto Forte
OM Oportunidade para Melhoria</t>
        </r>
      </text>
    </comment>
    <comment ref="B59" authorId="1" shapeId="0" xr:uid="{00000000-0006-0000-0B00-00003F000000}">
      <text>
        <r>
          <rPr>
            <sz val="9"/>
            <color indexed="81"/>
            <rFont val="Tahoma"/>
            <family val="2"/>
          </rPr>
          <t>Inserir linhas se necessário
PF Ponto Forte
OM Oportunidade para Melhoria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B3E9ED83-3187-49FD-80DB-E7CA0BB80C60}">
      <text>
        <r>
          <rPr>
            <b/>
            <sz val="9"/>
            <color indexed="81"/>
            <rFont val="Tahoma"/>
            <family val="2"/>
          </rPr>
          <t xml:space="preserve">O sistema de pontuação é automático com base nos fatores avaliados em Evolução, Competitividade e Compromisso.
</t>
        </r>
      </text>
    </comment>
    <comment ref="A4" authorId="1" shapeId="0" xr:uid="{7D4FF708-1680-42C0-801D-7C23033F7C7C}">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00000000-0006-0000-0C00-000003000000}">
      <text>
        <r>
          <rPr>
            <b/>
            <sz val="10"/>
            <color indexed="81"/>
            <rFont val="Tahoma"/>
            <family val="2"/>
          </rPr>
          <t>BARRA DE PROGRESSO DO ITEM
Calculado com base nos fatores exigíveis para o Tipo de indicador.</t>
        </r>
      </text>
    </comment>
    <comment ref="G4" authorId="0" shapeId="0" xr:uid="{8CF90DA3-97EC-4DFE-9223-1FA5C18C835C}">
      <text>
        <r>
          <rPr>
            <sz val="10"/>
            <color indexed="81"/>
            <rFont val="Tahoma"/>
            <family val="2"/>
          </rPr>
          <t>Refere-se à demonstração de melhoria do desempenho ou estabilização em bom nível.</t>
        </r>
      </text>
    </comment>
    <comment ref="J4" authorId="0" shapeId="0" xr:uid="{61094C4E-11D1-43EA-B108-A5A35619678D}">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B081E6B1-6546-4CB9-B4AE-69C5457B9291}">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C08E47C1-16C4-49D7-91BC-888A0C7299D7}">
      <text>
        <r>
          <rPr>
            <sz val="10"/>
            <color indexed="81"/>
            <rFont val="Tahoma"/>
            <family val="2"/>
          </rPr>
          <t xml:space="preserve">Somente para indicadores Estratégicos, incluindo do Negócio. 
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C6" authorId="0" shapeId="0" xr:uid="{E3110314-A7E9-412D-B918-00D42494119E}">
      <text>
        <r>
          <rPr>
            <sz val="10"/>
            <color indexed="81"/>
            <rFont val="Tahoma"/>
            <family val="2"/>
          </rPr>
          <t>Uso livre. Opcionalmente, informar nesta coluna a área  responsável.</t>
        </r>
      </text>
    </comment>
    <comment ref="D6" authorId="0" shapeId="0" xr:uid="{016D9CEB-923F-43D9-A104-69D5AEB6E6F8}">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2C21C572-4EE6-4551-92E8-DAEE2A382303}">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5A8F395B-4E17-4C38-98E2-CAFE2BD38F08}">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2A634EAF-2146-4E54-B893-A7DFE9840F9E}">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C4B0FF1B-166B-4438-B470-2785AFB71296}">
      <text>
        <r>
          <rPr>
            <b/>
            <sz val="10"/>
            <color indexed="81"/>
            <rFont val="Tahoma"/>
            <family val="2"/>
          </rPr>
          <t>% parcial EVOLUÇÃO</t>
        </r>
      </text>
    </comment>
    <comment ref="J6" authorId="0" shapeId="0" xr:uid="{1CB747B9-534A-411A-A247-56F3CEAFCA61}">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17ED601E-4114-4DEC-B134-FABDB1A290A5}">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05AC15AF-E299-4761-9EAA-B3B309DEAC0B}">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F63C1317-A182-4C7B-B646-7B6BC6AD234F}">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EDEB163B-45EA-47A7-9945-90CA4DAC7E33}">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5F59E02D-A904-4339-8EDD-62CDA0A19FB0}">
      <text>
        <r>
          <rPr>
            <b/>
            <sz val="9"/>
            <color indexed="81"/>
            <rFont val="Tahoma"/>
            <family val="2"/>
          </rPr>
          <t>% parcial COMPETITIVIDADE</t>
        </r>
      </text>
    </comment>
    <comment ref="P6" authorId="0" shapeId="0" xr:uid="{8D3F54AE-1CA2-4DB3-9D8B-200ACCD5C38A}">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FFC52141-BD8B-401D-B897-26094F8DE5E7}">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DE7000B1-8770-48B2-8417-C71DB62BE303}">
      <text>
        <r>
          <rPr>
            <sz val="10"/>
            <color indexed="81"/>
            <rFont val="Tahoma"/>
            <family val="2"/>
          </rPr>
          <t>Informar o nome ou sigla que identifica a(s) parte(s)  interessada(s) no resultado.</t>
        </r>
      </text>
    </comment>
    <comment ref="S6" authorId="0" shapeId="0" xr:uid="{9FE20093-6427-42C2-B65A-F12A4D6B19B1}">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1EAFD378-6695-476A-A8BD-471B596567EF}">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C29D13F3-A10A-462F-AAD3-A9F0A83A5C97}">
      <text>
        <r>
          <rPr>
            <b/>
            <sz val="9"/>
            <color indexed="81"/>
            <rFont val="Tahoma"/>
            <family val="2"/>
          </rPr>
          <t>% parcial COMPROMISSO</t>
        </r>
        <r>
          <rPr>
            <sz val="9"/>
            <color indexed="81"/>
            <rFont val="Tahoma"/>
            <family val="2"/>
          </rPr>
          <t xml:space="preserve">
</t>
        </r>
      </text>
    </comment>
    <comment ref="V6" authorId="0" shapeId="0" xr:uid="{F79683AD-59D5-456A-82B2-0892EA4ED2BA}">
      <text>
        <r>
          <rPr>
            <sz val="10"/>
            <color indexed="81"/>
            <rFont val="Tahoma"/>
            <family val="2"/>
          </rPr>
          <t xml:space="preserve">0: Não há meta futura definida para o indicador estratégico 
1: Há meta baseada em expectativa não justificada
2: Potencial de alcance de meta justificado genericamente
3: Potencial de alcance de meta muito bem justificado por estudos, projeções ou avaliações
Indicadores do negócio e estratégicos possuem metas com explicações suficientes sobre o potencial de seu alcance, considerando o nível atual, planos e cenários. Essas explicações devem estar explícitas e sustentadas por estudos demonstráveis. </t>
        </r>
      </text>
    </comment>
    <comment ref="W6" authorId="1" shapeId="0" xr:uid="{5A863E49-B1AD-4F2D-8F28-749265694235}">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0000000-0006-0000-0C00-00001C000000}">
      <text>
        <r>
          <rPr>
            <b/>
            <sz val="9"/>
            <color indexed="81"/>
            <rFont val="Tahoma"/>
            <family val="2"/>
          </rPr>
          <t>% parcial POTENCIAL</t>
        </r>
      </text>
    </comment>
    <comment ref="Y6" authorId="1" shapeId="0" xr:uid="{00000000-0006-0000-0C00-00001D00000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00000000-0006-0000-0C00-00001E00000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00000000-0006-0000-0C00-00001F00000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00000000-0006-0000-0C00-000020000000}">
      <text>
        <r>
          <rPr>
            <sz val="10"/>
            <color indexed="81"/>
            <rFont val="Tahoma"/>
            <family val="2"/>
          </rPr>
          <t xml:space="preserve">Valor do indicador no último ciclo.
</t>
        </r>
      </text>
    </comment>
    <comment ref="AD6" authorId="0" shapeId="0" xr:uid="{00000000-0006-0000-0C00-00002100000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00000000-0006-0000-0C00-000022000000}">
      <text>
        <r>
          <rPr>
            <sz val="10"/>
            <color indexed="81"/>
            <rFont val="Tahoma"/>
            <family val="2"/>
          </rPr>
          <t xml:space="preserve">Requisito de Parte Interessada é um Valor esperado (MT) por ela ou uma Evolução favorável (EF) esperada por ela no último exercício.
</t>
        </r>
      </text>
    </comment>
    <comment ref="AF6" authorId="0" shapeId="0" xr:uid="{00000000-0006-0000-0C00-000023000000}">
      <text>
        <r>
          <rPr>
            <sz val="10"/>
            <color indexed="81"/>
            <rFont val="Tahoma"/>
            <family val="2"/>
          </rPr>
          <t>Adicionar explicações sobre o indicador ou sua situação se necessário.</t>
        </r>
      </text>
    </comment>
    <comment ref="AG6" authorId="0" shapeId="0" xr:uid="{00000000-0006-0000-0C00-000024000000}">
      <text>
        <r>
          <rPr>
            <sz val="11"/>
            <color indexed="81"/>
            <rFont val="Tahoma"/>
            <family val="2"/>
          </rPr>
          <t>Ligar a um Processo dos Critérios de 1 a 7 se desejar.</t>
        </r>
      </text>
    </comment>
    <comment ref="A9" authorId="1" shapeId="0" xr:uid="{00000000-0006-0000-0C00-000025000000}">
      <text>
        <r>
          <rPr>
            <sz val="11"/>
            <color indexed="81"/>
            <rFont val="Tahoma"/>
            <family val="2"/>
          </rPr>
          <t>IMPORTANTE:
Linhas para informar indicador. Devem ter o valor "8" para serem consideradas na avaliação.</t>
        </r>
      </text>
    </comment>
    <comment ref="A10" authorId="1" shapeId="0" xr:uid="{00000000-0006-0000-0C00-000027000000}">
      <text>
        <r>
          <rPr>
            <sz val="11"/>
            <color indexed="81"/>
            <rFont val="Tahoma"/>
            <family val="2"/>
          </rPr>
          <t>IMPORTANTE:
Linhas para informar indicador. Devem ter o valor "8" para serem consideradas na avaliação.</t>
        </r>
      </text>
    </comment>
    <comment ref="A11" authorId="1" shapeId="0" xr:uid="{00000000-0006-0000-0C00-000028000000}">
      <text>
        <r>
          <rPr>
            <sz val="11"/>
            <color indexed="81"/>
            <rFont val="Tahoma"/>
            <family val="2"/>
          </rPr>
          <t>IMPORTANTE:
Linhas para informar indicador. Devem ter o valor "8" para serem consideradas na avaliação.</t>
        </r>
      </text>
    </comment>
    <comment ref="A12" authorId="1" shapeId="0" xr:uid="{00000000-0006-0000-0C00-000029000000}">
      <text>
        <r>
          <rPr>
            <sz val="11"/>
            <color indexed="81"/>
            <rFont val="Tahoma"/>
            <family val="2"/>
          </rPr>
          <t>IMPORTANTE:
Linhas para informar indicador. Devem ter o valor "8" para serem consideradas na avaliação.</t>
        </r>
      </text>
    </comment>
    <comment ref="A13" authorId="1" shapeId="0" xr:uid="{00000000-0006-0000-0C00-00002A000000}">
      <text>
        <r>
          <rPr>
            <sz val="11"/>
            <color indexed="81"/>
            <rFont val="Tahoma"/>
            <family val="2"/>
          </rPr>
          <t>IMPORTANTE:
Linhas para informar indicador. Devem ter o valor "8" para serem consideradas na avaliação.</t>
        </r>
      </text>
    </comment>
    <comment ref="A14" authorId="1" shapeId="0" xr:uid="{00000000-0006-0000-0C00-00002B000000}">
      <text>
        <r>
          <rPr>
            <sz val="11"/>
            <color indexed="81"/>
            <rFont val="Tahoma"/>
            <family val="2"/>
          </rPr>
          <t>IMPORTANTE:
Linhas para informar indicador. Devem ter o valor "8" para serem consideradas na avaliação.</t>
        </r>
      </text>
    </comment>
    <comment ref="A15" authorId="1" shapeId="0" xr:uid="{00000000-0006-0000-0C00-00002C000000}">
      <text>
        <r>
          <rPr>
            <sz val="11"/>
            <color indexed="81"/>
            <rFont val="Tahoma"/>
            <family val="2"/>
          </rPr>
          <t>IMPORTANTE:
Linhas para informar indicador. Devem ter o valor "8" para serem consideradas na avaliação.</t>
        </r>
      </text>
    </comment>
    <comment ref="A16" authorId="1" shapeId="0" xr:uid="{00000000-0006-0000-0C00-00002D000000}">
      <text>
        <r>
          <rPr>
            <sz val="11"/>
            <color indexed="81"/>
            <rFont val="Tahoma"/>
            <family val="2"/>
          </rPr>
          <t>IMPORTANTE:
Linhas para informar indicador. Devem ter o valor "8" para serem consideradas na avaliação.</t>
        </r>
      </text>
    </comment>
    <comment ref="A17" authorId="1" shapeId="0" xr:uid="{00000000-0006-0000-0C00-00002E000000}">
      <text>
        <r>
          <rPr>
            <sz val="11"/>
            <color indexed="81"/>
            <rFont val="Tahoma"/>
            <family val="2"/>
          </rPr>
          <t>IMPORTANTE:
Linhas para informar indicador. Devem ter o valor "8" para serem consideradas na avaliação.</t>
        </r>
      </text>
    </comment>
    <comment ref="A18" authorId="1" shapeId="0" xr:uid="{A1549F7D-8781-4DB8-AEDD-44BE02A841D2}">
      <text>
        <r>
          <rPr>
            <sz val="11"/>
            <color indexed="81"/>
            <rFont val="Tahoma"/>
            <family val="2"/>
          </rPr>
          <t>IMPORTANTE:
Linhas para informar indicador. Devem ter o valor "8" para serem consideradas na avaliação.</t>
        </r>
      </text>
    </comment>
    <comment ref="A19" authorId="1" shapeId="0" xr:uid="{D552E41B-40FF-4687-8E31-9A7468B6245A}">
      <text>
        <r>
          <rPr>
            <sz val="11"/>
            <color indexed="81"/>
            <rFont val="Tahoma"/>
            <family val="2"/>
          </rPr>
          <t>IMPORTANTE:
Linhas para informar indicador. Devem ter o valor "8" para serem consideradas na avaliação.</t>
        </r>
      </text>
    </comment>
    <comment ref="A20" authorId="1" shapeId="0" xr:uid="{1025C7A3-BC77-4568-BD09-F75E05983EE0}">
      <text>
        <r>
          <rPr>
            <sz val="11"/>
            <color indexed="81"/>
            <rFont val="Tahoma"/>
            <family val="2"/>
          </rPr>
          <t>IMPORTANTE:
Linhas para informar indicador. Devem ter o valor "8" para serem consideradas na avaliação.</t>
        </r>
      </text>
    </comment>
    <comment ref="A21" authorId="1" shapeId="0" xr:uid="{41F36EF6-B355-44AA-A14A-F47F9F21E566}">
      <text>
        <r>
          <rPr>
            <sz val="11"/>
            <color indexed="81"/>
            <rFont val="Tahoma"/>
            <family val="2"/>
          </rPr>
          <t>IMPORTANTE:
Linhas para informar indicador. Devem ter o valor "8" para serem consideradas na avaliação.</t>
        </r>
      </text>
    </comment>
    <comment ref="A22" authorId="1" shapeId="0" xr:uid="{18A50CB1-FA25-4D7C-82C2-C72BF3F26C59}">
      <text>
        <r>
          <rPr>
            <sz val="11"/>
            <color indexed="81"/>
            <rFont val="Tahoma"/>
            <family val="2"/>
          </rPr>
          <t>IMPORTANTE:
Linhas para informar indicador. Devem ter o valor "8" para serem consideradas na avaliação.</t>
        </r>
      </text>
    </comment>
    <comment ref="A23" authorId="1" shapeId="0" xr:uid="{E9C0AC65-AA50-44F5-B6B2-D57F1237AAF5}">
      <text>
        <r>
          <rPr>
            <sz val="11"/>
            <color indexed="81"/>
            <rFont val="Tahoma"/>
            <family val="2"/>
          </rPr>
          <t>IMPORTANTE:
Linhas para informar indicador. Devem ter o valor "8" para serem consideradas na avaliação.</t>
        </r>
      </text>
    </comment>
    <comment ref="A24" authorId="1" shapeId="0" xr:uid="{E7696633-B561-46CC-AE8D-86C92F8A47D0}">
      <text>
        <r>
          <rPr>
            <sz val="11"/>
            <color indexed="81"/>
            <rFont val="Tahoma"/>
            <family val="2"/>
          </rPr>
          <t>IMPORTANTE:
Linhas para informar indicador. Devem ter o valor "8" para serem consideradas na avaliação.</t>
        </r>
      </text>
    </comment>
    <comment ref="A25" authorId="1" shapeId="0" xr:uid="{64F4B7A4-50E1-4045-AF39-2548314FAA00}">
      <text>
        <r>
          <rPr>
            <sz val="11"/>
            <color indexed="81"/>
            <rFont val="Tahoma"/>
            <family val="2"/>
          </rPr>
          <t>IMPORTANTE:
Linhas para informar indicador. Devem ter o valor "8" para serem consideradas na avaliação.</t>
        </r>
      </text>
    </comment>
    <comment ref="A26" authorId="1" shapeId="0" xr:uid="{00000000-0006-0000-0C00-00002F000000}">
      <text>
        <r>
          <rPr>
            <sz val="11"/>
            <color indexed="81"/>
            <rFont val="Tahoma"/>
            <family val="2"/>
          </rPr>
          <t>IMPORTANTE:
Linhas para informar indicador. Devem ter o valor "8" para serem consideradas na avaliação.</t>
        </r>
      </text>
    </comment>
    <comment ref="A27" authorId="1" shapeId="0" xr:uid="{00000000-0006-0000-0C00-000030000000}">
      <text>
        <r>
          <rPr>
            <sz val="11"/>
            <color indexed="81"/>
            <rFont val="Tahoma"/>
            <family val="2"/>
          </rPr>
          <t>IMPORTANTE:
Linhas para informar indicador. Devem ter o valor "8" para serem consideradas na avaliação.</t>
        </r>
      </text>
    </comment>
    <comment ref="A28" authorId="1" shapeId="0" xr:uid="{00000000-0006-0000-0C00-000031000000}">
      <text>
        <r>
          <rPr>
            <sz val="11"/>
            <color indexed="81"/>
            <rFont val="Tahoma"/>
            <family val="2"/>
          </rPr>
          <t>IMPORTANTE:
Linhas para informar indicador. Devem ter o valor "8" para serem consideradas na avaliação.</t>
        </r>
      </text>
    </comment>
    <comment ref="A29" authorId="1" shapeId="0" xr:uid="{00000000-0006-0000-0C00-000032000000}">
      <text>
        <r>
          <rPr>
            <sz val="11"/>
            <color indexed="81"/>
            <rFont val="Tahoma"/>
            <family val="2"/>
          </rPr>
          <t>IMPORTANTE:
Linhas para informar indicador. Devem ter o valor "8" para serem consideradas na avaliação.</t>
        </r>
      </text>
    </comment>
    <comment ref="A30" authorId="1" shapeId="0" xr:uid="{00000000-0006-0000-0C00-000033000000}">
      <text>
        <r>
          <rPr>
            <sz val="11"/>
            <color indexed="81"/>
            <rFont val="Tahoma"/>
            <family val="2"/>
          </rPr>
          <t>IMPORTANTE:
Linhas para informar indicador. Devem ter o valor "8" para serem consideradas na avaliação.</t>
        </r>
      </text>
    </comment>
    <comment ref="A31" authorId="1" shapeId="0" xr:uid="{00000000-0006-0000-0C00-000034000000}">
      <text>
        <r>
          <rPr>
            <sz val="11"/>
            <color indexed="81"/>
            <rFont val="Tahoma"/>
            <family val="2"/>
          </rPr>
          <t>IMPORTANTE:
Linhas para informar indicador. Devem ter o valor "8" para serem consideradas na avaliação.</t>
        </r>
      </text>
    </comment>
    <comment ref="A32" authorId="1" shapeId="0" xr:uid="{00000000-0006-0000-0C00-000035000000}">
      <text>
        <r>
          <rPr>
            <sz val="11"/>
            <color indexed="81"/>
            <rFont val="Tahoma"/>
            <family val="2"/>
          </rPr>
          <t>IMPORTANTE:
Linhas para informar indicador. Devem ter o valor "8" para serem consideradas na avaliação.</t>
        </r>
      </text>
    </comment>
    <comment ref="A33" authorId="1" shapeId="0" xr:uid="{2CE3AE3A-D9B5-4346-921A-4E85B8C0FFA6}">
      <text>
        <r>
          <rPr>
            <sz val="11"/>
            <color indexed="81"/>
            <rFont val="Tahoma"/>
            <family val="2"/>
          </rPr>
          <t>IMPORTANTE:
Linhas para informar indicador. Devem ter o valor "8" para serem consideradas na avaliação.</t>
        </r>
      </text>
    </comment>
    <comment ref="A34" authorId="1" shapeId="0" xr:uid="{46EA22C9-937E-478F-B4E5-29AEF79033FD}">
      <text>
        <r>
          <rPr>
            <sz val="11"/>
            <color indexed="81"/>
            <rFont val="Tahoma"/>
            <family val="2"/>
          </rPr>
          <t>IMPORTANTE:
Linhas para informar indicador. Devem ter o valor "8" para serem consideradas na avaliação.</t>
        </r>
      </text>
    </comment>
    <comment ref="A35" authorId="1" shapeId="0" xr:uid="{97F5C0D9-B148-4765-82BE-41E8327234CD}">
      <text>
        <r>
          <rPr>
            <sz val="11"/>
            <color indexed="81"/>
            <rFont val="Tahoma"/>
            <family val="2"/>
          </rPr>
          <t>IMPORTANTE:
Linhas para informar indicador. Devem ter o valor "8" para serem consideradas na avaliação.</t>
        </r>
      </text>
    </comment>
    <comment ref="A36" authorId="1" shapeId="0" xr:uid="{6C9FCAEA-ACF3-463E-A9E2-5022914BE5B8}">
      <text>
        <r>
          <rPr>
            <sz val="11"/>
            <color indexed="81"/>
            <rFont val="Tahoma"/>
            <family val="2"/>
          </rPr>
          <t>IMPORTANTE:
Linhas para informar indicador. Devem ter o valor "8" para serem consideradas na avaliação.</t>
        </r>
      </text>
    </comment>
    <comment ref="A37" authorId="1" shapeId="0" xr:uid="{C0601D29-7AC4-4BC5-8DBA-B150C540984D}">
      <text>
        <r>
          <rPr>
            <sz val="11"/>
            <color indexed="81"/>
            <rFont val="Tahoma"/>
            <family val="2"/>
          </rPr>
          <t>IMPORTANTE:
Linhas para informar indicador. Devem ter o valor "8" para serem consideradas na avaliação.</t>
        </r>
      </text>
    </comment>
    <comment ref="A38" authorId="1" shapeId="0" xr:uid="{6FA43252-F989-44C4-977A-A0BF260193F6}">
      <text>
        <r>
          <rPr>
            <sz val="11"/>
            <color indexed="81"/>
            <rFont val="Tahoma"/>
            <family val="2"/>
          </rPr>
          <t>IMPORTANTE:
Linhas para informar indicador. Devem ter o valor "8" para serem consideradas na avaliação.</t>
        </r>
      </text>
    </comment>
    <comment ref="C41" authorId="1" shapeId="0" xr:uid="{00000000-0006-0000-0C00-00003600000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46" authorId="1" shapeId="0" xr:uid="{00000000-0006-0000-0C00-000037000000}">
      <text>
        <r>
          <rPr>
            <sz val="9"/>
            <color indexed="81"/>
            <rFont val="Tahoma"/>
            <family val="2"/>
          </rPr>
          <t>Inserir linhas se necessário
PF Ponto Forte
OM Oportunidade para Melhoria</t>
        </r>
      </text>
    </comment>
    <comment ref="B47" authorId="1" shapeId="0" xr:uid="{00000000-0006-0000-0C00-000038000000}">
      <text>
        <r>
          <rPr>
            <sz val="9"/>
            <color indexed="81"/>
            <rFont val="Tahoma"/>
            <family val="2"/>
          </rPr>
          <t>Inserir linhas se necessário
PF Ponto Forte
OM Oportunidade para Melhoria</t>
        </r>
      </text>
    </comment>
    <comment ref="B48" authorId="1" shapeId="0" xr:uid="{00000000-0006-0000-0C00-000039000000}">
      <text>
        <r>
          <rPr>
            <sz val="9"/>
            <color indexed="81"/>
            <rFont val="Tahoma"/>
            <family val="2"/>
          </rPr>
          <t>Inserir linhas se necessário
PF Ponto Forte
OM Oportunidade para Melhoria</t>
        </r>
      </text>
    </comment>
    <comment ref="B49" authorId="1" shapeId="0" xr:uid="{00000000-0006-0000-0C00-00003A000000}">
      <text>
        <r>
          <rPr>
            <sz val="9"/>
            <color indexed="81"/>
            <rFont val="Tahoma"/>
            <family val="2"/>
          </rPr>
          <t>Inserir linhas se necessário
PF Ponto Forte
OM Oportunidade para Melhoria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Xauf</author>
    <author>Carlos Schauff</author>
  </authors>
  <commentList>
    <comment ref="G3" authorId="0" shapeId="0" xr:uid="{00000000-0006-0000-0D00-000001000000}">
      <text>
        <r>
          <rPr>
            <b/>
            <sz val="9"/>
            <color indexed="81"/>
            <rFont val="Tahoma"/>
            <family val="2"/>
          </rPr>
          <t xml:space="preserve">O sistema de pontuação é automático com base nos fatores avaliados em Evolução, Competitividade e Compromisso.
</t>
        </r>
      </text>
    </comment>
    <comment ref="A4" authorId="1" shapeId="0" xr:uid="{5AF8C0E9-8730-459E-A7F0-08F6489CCFDE}">
      <text>
        <r>
          <rPr>
            <b/>
            <sz val="11"/>
            <color indexed="81"/>
            <rFont val="Tahoma"/>
            <family val="2"/>
          </rPr>
          <t>IMPORTANTE:</t>
        </r>
        <r>
          <rPr>
            <sz val="11"/>
            <color indexed="81"/>
            <rFont val="Tahoma"/>
            <family val="2"/>
          </rPr>
          <t xml:space="preserve">
Ao adicionar linhas para informar mais indicadores (Desproteger Planilha cf. instruções da aba 'Capa' para poder incluir linhas), copiar todo o conteúdo de uma linha original da planilha, antes de entrar os dados, para que as fórmulas sejam copiadas. 
O valor "8" na coluna 'A' informa que a linha do indicador é ativa. e deve ser considerada na totalização por Fator.</t>
        </r>
      </text>
    </comment>
    <comment ref="B4" authorId="1" shapeId="0" xr:uid="{00000000-0006-0000-0D00-000003000000}">
      <text>
        <r>
          <rPr>
            <b/>
            <sz val="10"/>
            <color indexed="81"/>
            <rFont val="Tahoma"/>
            <family val="2"/>
          </rPr>
          <t>BARRA DE PROGRESSO DO ITEM
Calculado com base nos fatores exigíveis para o Tipo de indicador.</t>
        </r>
      </text>
    </comment>
    <comment ref="G4" authorId="0" shapeId="0" xr:uid="{2656859C-0776-41BF-8E8D-50DBC901F05C}">
      <text>
        <r>
          <rPr>
            <sz val="10"/>
            <color indexed="81"/>
            <rFont val="Tahoma"/>
            <family val="2"/>
          </rPr>
          <t>Refere-se à demonstração de melhoria do desempenho ou estabilização em bom nível.</t>
        </r>
      </text>
    </comment>
    <comment ref="J4" authorId="0" shapeId="0" xr:uid="{B2BA0164-F0D8-4374-9E8C-F48E670668B8}">
      <text>
        <r>
          <rPr>
            <sz val="10"/>
            <color indexed="81"/>
            <rFont val="Tahoma"/>
            <family val="2"/>
          </rPr>
          <t xml:space="preserve">Somente para indicadores Estratégicos e do Negócio. 
Refere-se à demonstração, no último ciclo ou exercício, de níveis de desempenho equivalentes ou superiores a referenciais comparativos pertinentes para o resultado do negócio ou estratégico comparável. 
</t>
        </r>
      </text>
    </comment>
    <comment ref="P4" authorId="0" shapeId="0" xr:uid="{0AFDF352-A294-4116-AAD0-F2C7BC41E64E}">
      <text>
        <r>
          <rPr>
            <sz val="10"/>
            <color indexed="81"/>
            <rFont val="Tahoma"/>
            <family val="2"/>
          </rPr>
          <t xml:space="preserve">Somente para indicadores Estratégicos e do Negócio. 
Refere-se à demonstração, pelo menos no último ciclo ou exercício, de cumprimento ou superação de nível de desempenho ou de melhoria  esperada, associada a requisito de parte interessada, para resultado do
negócio (N) ou estratégico (E), que deve expressar esse requisito.
</t>
        </r>
      </text>
    </comment>
    <comment ref="V4" authorId="1" shapeId="0" xr:uid="{F21D7C78-B933-410F-AAFE-F1778DF04268}">
      <text>
        <r>
          <rPr>
            <sz val="10"/>
            <color indexed="81"/>
            <rFont val="Tahoma"/>
            <family val="2"/>
          </rPr>
          <t xml:space="preserve">Somente para indicadores Estratégicos, incluindo do Negócio. 
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C6" authorId="0" shapeId="0" xr:uid="{A1ACC7D3-22F7-4BA7-A40E-7A01E148063B}">
      <text>
        <r>
          <rPr>
            <sz val="10"/>
            <color indexed="81"/>
            <rFont val="Tahoma"/>
            <family val="2"/>
          </rPr>
          <t>Uso livre. Opcionalmente, informar nesta coluna a área  responsável.</t>
        </r>
      </text>
    </comment>
    <comment ref="D6" authorId="0" shapeId="0" xr:uid="{265B762C-BD14-4A4D-9787-1C7408B2D221}">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vêm reduzindo, poderia cria o indicador "Nível de risco" como existente, avaliando-o de acordo (mais tarde pode-se obter o quantitativo).  
Se houver fato relevante (premiações, certificações, pesquisas independentes, concorrências ou outros) que demonstrem desempenho ESTRATÉGICO esse "indicador" pode ser incluído. Ver exemplo nesta nota em 8.2.
Não é necessário informar os resultados dos indicadores nas colunas AA em diante, o que servirá apenas para registro e não é usado no cálculo.</t>
        </r>
      </text>
    </comment>
    <comment ref="E6" authorId="0" shapeId="0" xr:uid="{81065D4D-0A5F-411B-BD9B-09943B3D7145}">
      <text>
        <r>
          <rPr>
            <sz val="10"/>
            <color indexed="81"/>
            <rFont val="Tahoma"/>
            <family val="2"/>
          </rPr>
          <t xml:space="preserve">"E": indicador Estratégico. Serve para avaliar o êxito de alguma estratégia, direta ou indiretamente.
"N": indicador estratégico do Negócio. Serve para avaliar a missão, visão de futuro, valor, princípio ou objetivo global da organização.
"O": Operacional
"G": Requerido no GRMD para a 'view' de gestão MEGSA 
Permitida a combinação NO, ON, EO, OE. Nesse caso prevalece "N" ou "E" para avaliar o fator Competitividade, Compromisso e Potencial. 
</t>
        </r>
      </text>
    </comment>
    <comment ref="G6" authorId="0" shapeId="0" xr:uid="{42F22A18-D380-489A-9070-E79D895AF948}">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0" shapeId="0" xr:uid="{F9A9AB10-1A57-4DA6-9F01-9280A4C43F2F}">
      <text>
        <r>
          <rPr>
            <sz val="10"/>
            <color indexed="81"/>
            <rFont val="Tahoma"/>
            <family val="2"/>
          </rPr>
          <t>0: Evolução desconhecida ou o resultado é em variável irrelevante
1: Evolução desfavorável
2: Houve evolução para melhor ou manteve-se estável em nível aceitável*
3: Houve evolução significativa* para melhor ou alcançou nível de liderança ou de excelência
*resultado dos dois últimos exercícios ou ciclos são competitivos considerando pelo menos o referencial comparativo do último ciclo ou exercício, se comparável, ou cumprem pelo menos o compromisso com requisito de parte interessada do último exercício ou ciclo, quando existir, mesmo não sendo o indicador de negócio ou estratégico. Ou seja. se for indicador Operacional (O), para avaliar se o Nível é aceitável, precisa ter referencial comparativo ou RPI.
**há informações que demonstram mudança de patamar de desempenho por meio de apresentação de resultados anteriores ou explicações do ganho extraordinário</t>
        </r>
      </text>
    </comment>
    <comment ref="I6" authorId="1" shapeId="0" xr:uid="{AC463940-3648-4164-A57D-6EC9B620860C}">
      <text>
        <r>
          <rPr>
            <b/>
            <sz val="10"/>
            <color indexed="81"/>
            <rFont val="Tahoma"/>
            <family val="2"/>
          </rPr>
          <t>% parcial EVOLUÇÃO</t>
        </r>
      </text>
    </comment>
    <comment ref="J6" authorId="0" shapeId="0" xr:uid="{A5269AFC-D302-459E-991E-483B2DD45924}">
      <text>
        <r>
          <rPr>
            <sz val="10"/>
            <color indexed="81"/>
            <rFont val="Tahoma"/>
            <family val="2"/>
          </rPr>
          <t>Para indicador do NEGÓCIO ou ESTRATÉGICO informar "S" se o resultado for comparável para avaliar a competitividade, comparando com:
- concorrência, 
- organizaçãoconsiderada uma referência no tema associado ao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0" shapeId="0" xr:uid="{FD872B96-B2F4-4C44-A031-152ABEBECE44}">
      <text>
        <r>
          <rPr>
            <sz val="10"/>
            <color indexed="81"/>
            <rFont val="Tahoma"/>
            <family val="2"/>
          </rPr>
          <t>0: Competitividade desconhecida por ausência de comparação com referencial comparativo pertinente
1: Não é competitivo
2: Melhor que uma média relevante
3: Melhor ou igual a concorrência, a organização que é referência no tema ou a uma organização congênere em mercado com saneamento ambiental universalizado
São pertinentes comparações com resultados da concorrência, de uma organização de referência no tema, de organizações congêneres em mercados mais exigentes ou mais desenvolvidos, com a média relevante do setor ou do mercado, parâmetros regulamentares para setores regulados, referenciais teóricos para assegurar competitividade ou qq outra informação comparativa que demonstre competitividade.
Se for 0 ou 1 não precisa continuar avaliando o fator Competitividade</t>
        </r>
      </text>
    </comment>
    <comment ref="L6" authorId="0" shapeId="0" xr:uid="{599ED41D-B3BB-487E-8602-29F6E8D833ED}">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0" shapeId="0" xr:uid="{3096C582-4800-4EED-9318-880D1744AF19}">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0" shapeId="0" xr:uid="{6AD5E197-9FBD-4B40-ADED-8461FC635607}">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1" shapeId="0" xr:uid="{E6C82270-1F87-44C2-A0AF-EA930F93BF0B}">
      <text>
        <r>
          <rPr>
            <b/>
            <sz val="9"/>
            <color indexed="81"/>
            <rFont val="Tahoma"/>
            <family val="2"/>
          </rPr>
          <t>% parcial COMPETITIVIDADE</t>
        </r>
      </text>
    </comment>
    <comment ref="P6" authorId="0" shapeId="0" xr:uid="{EAFA3F3A-0192-4687-924C-7A219EFF24E1}">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0" shapeId="0" xr:uid="{F4356A50-0693-4FB8-9E88-AE01B4BC4084}">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0" shapeId="0" xr:uid="{E978CFE8-C41C-4FF4-92B1-7C95B29460AE}">
      <text>
        <r>
          <rPr>
            <sz val="10"/>
            <color indexed="81"/>
            <rFont val="Tahoma"/>
            <family val="2"/>
          </rPr>
          <t>Informar o nome ou sigla que identifica a(s) parte(s)  interessada(s) no resultado.</t>
        </r>
      </text>
    </comment>
    <comment ref="S6" authorId="0" shapeId="0" xr:uid="{248093E0-97F1-4CDC-A241-512F1351E099}">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0" shapeId="0" xr:uid="{4F67C216-62B7-4156-A4EC-ED6F3C420B14}">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1" shapeId="0" xr:uid="{6BD174E5-7D55-4E79-8126-2312DC5D9483}">
      <text>
        <r>
          <rPr>
            <b/>
            <sz val="9"/>
            <color indexed="81"/>
            <rFont val="Tahoma"/>
            <family val="2"/>
          </rPr>
          <t>% parcial COMPROMISSO</t>
        </r>
        <r>
          <rPr>
            <sz val="9"/>
            <color indexed="81"/>
            <rFont val="Tahoma"/>
            <family val="2"/>
          </rPr>
          <t xml:space="preserve">
</t>
        </r>
      </text>
    </comment>
    <comment ref="V6" authorId="0" shapeId="0" xr:uid="{880B542A-9181-4262-A4FB-034C964F1986}">
      <text>
        <r>
          <rPr>
            <sz val="10"/>
            <color indexed="81"/>
            <rFont val="Tahoma"/>
            <family val="2"/>
          </rPr>
          <t xml:space="preserve">0: Não há meta futura definida para o indicador estratégico 
1: Há meta baseada em expectativa não justificada
2: Potencial de alcance de meta justificado genericamente
3: Potencial de alcance de meta muito bem justificado por estudos, projeções ou avaliações
Indicadores do negócio e estratégicos possuem metas com explicações suficientes sobre o potencial de seu alcance, considerando o nível atual, planos e cenários. Essas explicações devem estar explícitas e sustentadas por estudos demonstráveis. </t>
        </r>
      </text>
    </comment>
    <comment ref="W6" authorId="1" shapeId="0" xr:uid="{F347BD30-55BE-4757-810F-8C940A1C532C}">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1" shapeId="0" xr:uid="{00000000-0006-0000-0D00-00001C000000}">
      <text>
        <r>
          <rPr>
            <b/>
            <sz val="9"/>
            <color indexed="81"/>
            <rFont val="Tahoma"/>
            <family val="2"/>
          </rPr>
          <t>% parcial POTENCIAL</t>
        </r>
      </text>
    </comment>
    <comment ref="Y6" authorId="1" shapeId="0" xr:uid="{00000000-0006-0000-0D00-00001D00000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0" shapeId="0" xr:uid="{00000000-0006-0000-0D00-00001E00000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0" shapeId="0" xr:uid="{00000000-0006-0000-0D00-00001F00000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0" shapeId="0" xr:uid="{00000000-0006-0000-0D00-000020000000}">
      <text>
        <r>
          <rPr>
            <sz val="10"/>
            <color indexed="81"/>
            <rFont val="Tahoma"/>
            <family val="2"/>
          </rPr>
          <t xml:space="preserve">Valor do indicador no último ciclo.
</t>
        </r>
      </text>
    </comment>
    <comment ref="AD6" authorId="0" shapeId="0" xr:uid="{00000000-0006-0000-0D00-00002100000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0" shapeId="0" xr:uid="{00000000-0006-0000-0D00-000022000000}">
      <text>
        <r>
          <rPr>
            <sz val="10"/>
            <color indexed="81"/>
            <rFont val="Tahoma"/>
            <family val="2"/>
          </rPr>
          <t xml:space="preserve">Requisito de Parte Interessada é um Valor esperado (MT) por ela ou uma Evolução favorável (EF) esperada por ela no último exercício.
</t>
        </r>
      </text>
    </comment>
    <comment ref="AF6" authorId="0" shapeId="0" xr:uid="{00000000-0006-0000-0D00-000023000000}">
      <text>
        <r>
          <rPr>
            <sz val="10"/>
            <color indexed="81"/>
            <rFont val="Tahoma"/>
            <family val="2"/>
          </rPr>
          <t>Adicionar explicações sobre o indicador ou sua situação se necessário.</t>
        </r>
      </text>
    </comment>
    <comment ref="AG6" authorId="0" shapeId="0" xr:uid="{00000000-0006-0000-0D00-000024000000}">
      <text>
        <r>
          <rPr>
            <sz val="11"/>
            <color indexed="81"/>
            <rFont val="Tahoma"/>
            <family val="2"/>
          </rPr>
          <t>Ligar a um Processo dos Critérios de 1 a 7 se desejar.</t>
        </r>
      </text>
    </comment>
    <comment ref="A9" authorId="1" shapeId="0" xr:uid="{00000000-0006-0000-0D00-000025000000}">
      <text>
        <r>
          <rPr>
            <sz val="11"/>
            <color indexed="81"/>
            <rFont val="Tahoma"/>
            <family val="2"/>
          </rPr>
          <t>IMPORTANTE:
Linhas para informar indicador. Devem ter o valor "8" para serem consideradas na avaliação.</t>
        </r>
      </text>
    </comment>
    <comment ref="A10" authorId="1" shapeId="0" xr:uid="{00000000-0006-0000-0D00-000026000000}">
      <text>
        <r>
          <rPr>
            <sz val="11"/>
            <color indexed="81"/>
            <rFont val="Tahoma"/>
            <family val="2"/>
          </rPr>
          <t>IMPORTANTE:
Linhas para informar indicador. Devem ter o valor "8" para serem consideradas na avaliação.</t>
        </r>
      </text>
    </comment>
    <comment ref="A11" authorId="1" shapeId="0" xr:uid="{00000000-0006-0000-0D00-000027000000}">
      <text>
        <r>
          <rPr>
            <sz val="11"/>
            <color indexed="81"/>
            <rFont val="Tahoma"/>
            <family val="2"/>
          </rPr>
          <t>IMPORTANTE:
Linhas para informar indicador. Devem ter o valor "8" para serem consideradas na avaliação.</t>
        </r>
      </text>
    </comment>
    <comment ref="A12" authorId="1" shapeId="0" xr:uid="{00000000-0006-0000-0D00-000028000000}">
      <text>
        <r>
          <rPr>
            <sz val="11"/>
            <color indexed="81"/>
            <rFont val="Tahoma"/>
            <family val="2"/>
          </rPr>
          <t>IMPORTANTE:
Linhas para informar indicador. Devem ter o valor "8" para serem consideradas na avaliação.</t>
        </r>
      </text>
    </comment>
    <comment ref="A13" authorId="1" shapeId="0" xr:uid="{00000000-0006-0000-0D00-000029000000}">
      <text>
        <r>
          <rPr>
            <sz val="11"/>
            <color indexed="81"/>
            <rFont val="Tahoma"/>
            <family val="2"/>
          </rPr>
          <t>IMPORTANTE:
Linhas para informar indicador. Devem ter o valor "8" para serem consideradas na avaliação.</t>
        </r>
      </text>
    </comment>
    <comment ref="A14" authorId="1" shapeId="0" xr:uid="{00000000-0006-0000-0D00-00002A000000}">
      <text>
        <r>
          <rPr>
            <sz val="11"/>
            <color indexed="81"/>
            <rFont val="Tahoma"/>
            <family val="2"/>
          </rPr>
          <t>IMPORTANTE:
Linhas para informar indicador. Devem ter o valor "8" para serem consideradas na avaliação.</t>
        </r>
      </text>
    </comment>
    <comment ref="A15" authorId="1" shapeId="0" xr:uid="{00000000-0006-0000-0D00-00002B000000}">
      <text>
        <r>
          <rPr>
            <sz val="11"/>
            <color indexed="81"/>
            <rFont val="Tahoma"/>
            <family val="2"/>
          </rPr>
          <t>IMPORTANTE:
Linhas para informar indicador. Devem ter o valor "8" para serem consideradas na avaliação.</t>
        </r>
      </text>
    </comment>
    <comment ref="A16" authorId="1" shapeId="0" xr:uid="{00000000-0006-0000-0D00-00002C000000}">
      <text>
        <r>
          <rPr>
            <sz val="11"/>
            <color indexed="81"/>
            <rFont val="Tahoma"/>
            <family val="2"/>
          </rPr>
          <t>IMPORTANTE:
Linhas para informar indicador. Devem ter o valor "8" para serem consideradas na avaliação.</t>
        </r>
      </text>
    </comment>
    <comment ref="A17" authorId="1" shapeId="0" xr:uid="{00000000-0006-0000-0D00-00002D000000}">
      <text>
        <r>
          <rPr>
            <sz val="11"/>
            <color indexed="81"/>
            <rFont val="Tahoma"/>
            <family val="2"/>
          </rPr>
          <t>IMPORTANTE:
Linhas para informar indicador. Devem ter o valor "8" para serem consideradas na avaliação.</t>
        </r>
      </text>
    </comment>
    <comment ref="A18" authorId="1" shapeId="0" xr:uid="{00000000-0006-0000-0D00-00002E000000}">
      <text>
        <r>
          <rPr>
            <sz val="11"/>
            <color indexed="81"/>
            <rFont val="Tahoma"/>
            <family val="2"/>
          </rPr>
          <t>IMPORTANTE:
Linhas para informar indicador. Devem ter o valor "8" para serem consideradas na avaliação.</t>
        </r>
      </text>
    </comment>
    <comment ref="A19" authorId="1" shapeId="0" xr:uid="{56DE9A4D-449B-41DB-A07F-6BF8AD3535F3}">
      <text>
        <r>
          <rPr>
            <sz val="11"/>
            <color indexed="81"/>
            <rFont val="Tahoma"/>
            <family val="2"/>
          </rPr>
          <t>IMPORTANTE:
Linhas para informar indicador. Devem ter o valor "8" para serem consideradas na avaliação.</t>
        </r>
      </text>
    </comment>
    <comment ref="A20" authorId="1" shapeId="0" xr:uid="{9786E08B-A668-40A1-B16A-378286760F3A}">
      <text>
        <r>
          <rPr>
            <sz val="11"/>
            <color indexed="81"/>
            <rFont val="Tahoma"/>
            <family val="2"/>
          </rPr>
          <t>IMPORTANTE:
Linhas para informar indicador. Devem ter o valor "8" para serem consideradas na avaliação.</t>
        </r>
      </text>
    </comment>
    <comment ref="A21" authorId="1" shapeId="0" xr:uid="{91305BB6-67B6-45B6-8369-891052223BC9}">
      <text>
        <r>
          <rPr>
            <sz val="11"/>
            <color indexed="81"/>
            <rFont val="Tahoma"/>
            <family val="2"/>
          </rPr>
          <t>IMPORTANTE:
Linhas para informar indicador. Devem ter o valor "8" para serem consideradas na avaliação.</t>
        </r>
      </text>
    </comment>
    <comment ref="A22" authorId="1" shapeId="0" xr:uid="{2C485C65-47A0-4A79-B90A-F7949C27808E}">
      <text>
        <r>
          <rPr>
            <sz val="11"/>
            <color indexed="81"/>
            <rFont val="Tahoma"/>
            <family val="2"/>
          </rPr>
          <t>IMPORTANTE:
Linhas para informar indicador. Devem ter o valor "8" para serem consideradas na avaliação.</t>
        </r>
      </text>
    </comment>
    <comment ref="A23" authorId="1" shapeId="0" xr:uid="{C712024E-4E28-405D-876B-374193D3D10A}">
      <text>
        <r>
          <rPr>
            <sz val="11"/>
            <color indexed="81"/>
            <rFont val="Tahoma"/>
            <family val="2"/>
          </rPr>
          <t>IMPORTANTE:
Linhas para informar indicador. Devem ter o valor "8" para serem consideradas na avaliação.</t>
        </r>
      </text>
    </comment>
    <comment ref="A24" authorId="1" shapeId="0" xr:uid="{126C7A5C-9AF6-4BCF-9947-946BA165983B}">
      <text>
        <r>
          <rPr>
            <sz val="11"/>
            <color indexed="81"/>
            <rFont val="Tahoma"/>
            <family val="2"/>
          </rPr>
          <t>IMPORTANTE:
Linhas para informar indicador. Devem ter o valor "8" para serem consideradas na avaliação.</t>
        </r>
      </text>
    </comment>
    <comment ref="A25" authorId="1" shapeId="0" xr:uid="{CFCE4E4C-810D-4A31-BD60-84E7B766A1CC}">
      <text>
        <r>
          <rPr>
            <sz val="11"/>
            <color indexed="81"/>
            <rFont val="Tahoma"/>
            <family val="2"/>
          </rPr>
          <t>IMPORTANTE:
Linhas para informar indicador. Devem ter o valor "8" para serem consideradas na avaliação.</t>
        </r>
      </text>
    </comment>
    <comment ref="A26" authorId="1" shapeId="0" xr:uid="{C7024051-F6A1-49DB-9373-9C443D109387}">
      <text>
        <r>
          <rPr>
            <sz val="11"/>
            <color indexed="81"/>
            <rFont val="Tahoma"/>
            <family val="2"/>
          </rPr>
          <t>IMPORTANTE:
Linhas para informar indicador. Devem ter o valor "8" para serem consideradas na avaliação.</t>
        </r>
      </text>
    </comment>
    <comment ref="A27" authorId="1" shapeId="0" xr:uid="{3AA1E80B-6031-4977-BC99-E81A4A6BADB8}">
      <text>
        <r>
          <rPr>
            <sz val="11"/>
            <color indexed="81"/>
            <rFont val="Tahoma"/>
            <family val="2"/>
          </rPr>
          <t>IMPORTANTE:
Linhas para informar indicador. Devem ter o valor "8" para serem consideradas na avaliação.</t>
        </r>
      </text>
    </comment>
    <comment ref="A28" authorId="1" shapeId="0" xr:uid="{00000000-0006-0000-0D00-000031000000}">
      <text>
        <r>
          <rPr>
            <sz val="11"/>
            <color indexed="81"/>
            <rFont val="Tahoma"/>
            <family val="2"/>
          </rPr>
          <t>IMPORTANTE:
Linhas para informar indicador. Devem ter o valor "8" para serem consideradas na avaliação.</t>
        </r>
      </text>
    </comment>
    <comment ref="A29" authorId="1" shapeId="0" xr:uid="{00000000-0006-0000-0D00-000032000000}">
      <text>
        <r>
          <rPr>
            <sz val="11"/>
            <color indexed="81"/>
            <rFont val="Tahoma"/>
            <family val="2"/>
          </rPr>
          <t>IMPORTANTE:
Linhas para informar indicador. Devem ter o valor "8" para serem consideradas na avaliação.</t>
        </r>
      </text>
    </comment>
    <comment ref="A30" authorId="1" shapeId="0" xr:uid="{00000000-0006-0000-0D00-000033000000}">
      <text>
        <r>
          <rPr>
            <sz val="11"/>
            <color indexed="81"/>
            <rFont val="Tahoma"/>
            <family val="2"/>
          </rPr>
          <t>IMPORTANTE:
Linhas para informar indicador. Devem ter o valor "8" para serem consideradas na avaliação.</t>
        </r>
      </text>
    </comment>
    <comment ref="A31" authorId="1" shapeId="0" xr:uid="{00000000-0006-0000-0D00-000034000000}">
      <text>
        <r>
          <rPr>
            <sz val="11"/>
            <color indexed="81"/>
            <rFont val="Tahoma"/>
            <family val="2"/>
          </rPr>
          <t>IMPORTANTE:
Linhas para informar indicador. Devem ter o valor "8" para serem consideradas na avaliação.</t>
        </r>
      </text>
    </comment>
    <comment ref="A32" authorId="1" shapeId="0" xr:uid="{00000000-0006-0000-0D00-000035000000}">
      <text>
        <r>
          <rPr>
            <sz val="11"/>
            <color indexed="81"/>
            <rFont val="Tahoma"/>
            <family val="2"/>
          </rPr>
          <t>IMPORTANTE:
Linhas para informar indicador. Devem ter o valor "8" para serem consideradas na avaliação.</t>
        </r>
      </text>
    </comment>
    <comment ref="A33" authorId="1" shapeId="0" xr:uid="{00000000-0006-0000-0D00-000036000000}">
      <text>
        <r>
          <rPr>
            <sz val="11"/>
            <color indexed="81"/>
            <rFont val="Tahoma"/>
            <family val="2"/>
          </rPr>
          <t>IMPORTANTE:
Linhas para informar indicador. Devem ter o valor "8" para serem consideradas na avaliação.</t>
        </r>
      </text>
    </comment>
    <comment ref="A34" authorId="1" shapeId="0" xr:uid="{00000000-0006-0000-0D00-000037000000}">
      <text>
        <r>
          <rPr>
            <sz val="11"/>
            <color indexed="81"/>
            <rFont val="Tahoma"/>
            <family val="2"/>
          </rPr>
          <t>IMPORTANTE:
Linhas para informar indicador. Devem ter o valor "8" para serem consideradas na avaliação.</t>
        </r>
      </text>
    </comment>
    <comment ref="A35" authorId="1" shapeId="0" xr:uid="{00000000-0006-0000-0D00-000038000000}">
      <text>
        <r>
          <rPr>
            <sz val="11"/>
            <color indexed="81"/>
            <rFont val="Tahoma"/>
            <family val="2"/>
          </rPr>
          <t>IMPORTANTE:
Linhas para informar indicador. Devem ter o valor "8" para serem consideradas na avaliação.</t>
        </r>
      </text>
    </comment>
    <comment ref="A36" authorId="1" shapeId="0" xr:uid="{426C12AD-5190-4488-A904-C5649E2CCF69}">
      <text>
        <r>
          <rPr>
            <sz val="11"/>
            <color indexed="81"/>
            <rFont val="Tahoma"/>
            <family val="2"/>
          </rPr>
          <t>IMPORTANTE:
Linhas para informar indicador. Devem ter o valor "8" para serem consideradas na avaliação.</t>
        </r>
      </text>
    </comment>
    <comment ref="A37" authorId="1" shapeId="0" xr:uid="{564CBF9A-7DC3-43A9-B5B2-00083485F396}">
      <text>
        <r>
          <rPr>
            <sz val="11"/>
            <color indexed="81"/>
            <rFont val="Tahoma"/>
            <family val="2"/>
          </rPr>
          <t>IMPORTANTE:
Linhas para informar indicador. Devem ter o valor "8" para serem consideradas na avaliação.</t>
        </r>
      </text>
    </comment>
    <comment ref="A38" authorId="1" shapeId="0" xr:uid="{9347F934-D6F7-4CBF-A257-EE11C04C8B25}">
      <text>
        <r>
          <rPr>
            <sz val="11"/>
            <color indexed="81"/>
            <rFont val="Tahoma"/>
            <family val="2"/>
          </rPr>
          <t>IMPORTANTE:
Linhas para informar indicador. Devem ter o valor "8" para serem consideradas na avaliação.</t>
        </r>
      </text>
    </comment>
    <comment ref="A39" authorId="1" shapeId="0" xr:uid="{9F7BAAB9-0F23-4B56-8896-8D31DD23DA65}">
      <text>
        <r>
          <rPr>
            <sz val="11"/>
            <color indexed="81"/>
            <rFont val="Tahoma"/>
            <family val="2"/>
          </rPr>
          <t>IMPORTANTE:
Linhas para informar indicador. Devem ter o valor "8" para serem consideradas na avaliação.</t>
        </r>
      </text>
    </comment>
    <comment ref="A40" authorId="1" shapeId="0" xr:uid="{9E4442DB-CCC0-4DDA-A956-971C4C5CDEB1}">
      <text>
        <r>
          <rPr>
            <sz val="11"/>
            <color indexed="81"/>
            <rFont val="Tahoma"/>
            <family val="2"/>
          </rPr>
          <t>IMPORTANTE:
Linhas para informar indicador. Devem ter o valor "8" para serem consideradas na avaliação.</t>
        </r>
      </text>
    </comment>
    <comment ref="A41" authorId="1" shapeId="0" xr:uid="{CFF22E98-5248-4D10-A104-83D7AB5088AF}">
      <text>
        <r>
          <rPr>
            <sz val="11"/>
            <color indexed="81"/>
            <rFont val="Tahoma"/>
            <family val="2"/>
          </rPr>
          <t>IMPORTANTE:
Linhas para informar indicador. Devem ter o valor "8" para serem consideradas na avaliação.</t>
        </r>
      </text>
    </comment>
    <comment ref="A42" authorId="1" shapeId="0" xr:uid="{22BEAE3A-6C9F-4B8D-99CA-B5890700C987}">
      <text>
        <r>
          <rPr>
            <sz val="11"/>
            <color indexed="81"/>
            <rFont val="Tahoma"/>
            <family val="2"/>
          </rPr>
          <t>IMPORTANTE:
Linhas para informar indicador. Devem ter o valor "8" para serem consideradas na avaliação.</t>
        </r>
      </text>
    </comment>
    <comment ref="A43" authorId="1" shapeId="0" xr:uid="{E95FBCBA-0E84-41B7-A009-F51F9277A27A}">
      <text>
        <r>
          <rPr>
            <sz val="11"/>
            <color indexed="81"/>
            <rFont val="Tahoma"/>
            <family val="2"/>
          </rPr>
          <t>IMPORTANTE:
Linhas para informar indicador. Devem ter o valor "8" para serem consideradas na avaliação.</t>
        </r>
      </text>
    </comment>
    <comment ref="A44" authorId="1" shapeId="0" xr:uid="{7525E73E-4F87-4FE1-AA9C-6D0071E43D96}">
      <text>
        <r>
          <rPr>
            <sz val="11"/>
            <color indexed="81"/>
            <rFont val="Tahoma"/>
            <family val="2"/>
          </rPr>
          <t>IMPORTANTE:
Linhas para informar indicador. Devem ter o valor "8" para serem consideradas na avaliação.</t>
        </r>
      </text>
    </comment>
    <comment ref="A45" authorId="1" shapeId="0" xr:uid="{00000000-0006-0000-0D00-000039000000}">
      <text>
        <r>
          <rPr>
            <sz val="11"/>
            <color indexed="81"/>
            <rFont val="Tahoma"/>
            <family val="2"/>
          </rPr>
          <t>IMPORTANTE:
Linhas para informar indicador. Devem ter o valor "8" para serem consideradas na avaliação.</t>
        </r>
      </text>
    </comment>
    <comment ref="A46" authorId="1" shapeId="0" xr:uid="{00000000-0006-0000-0D00-00003A000000}">
      <text>
        <r>
          <rPr>
            <sz val="11"/>
            <color indexed="81"/>
            <rFont val="Tahoma"/>
            <family val="2"/>
          </rPr>
          <t>IMPORTANTE:
Linhas para informar indicador. Devem ter o valor "8" para serem consideradas na avaliação.</t>
        </r>
      </text>
    </comment>
    <comment ref="A47" authorId="1" shapeId="0" xr:uid="{00000000-0006-0000-0D00-00003B000000}">
      <text>
        <r>
          <rPr>
            <sz val="11"/>
            <color indexed="81"/>
            <rFont val="Tahoma"/>
            <family val="2"/>
          </rPr>
          <t>IMPORTANTE:
Linhas para informar indicador. Devem ter o valor "8" para serem consideradas na avaliação.</t>
        </r>
      </text>
    </comment>
    <comment ref="A48" authorId="1" shapeId="0" xr:uid="{00000000-0006-0000-0D00-00003C000000}">
      <text>
        <r>
          <rPr>
            <sz val="11"/>
            <color indexed="81"/>
            <rFont val="Tahoma"/>
            <family val="2"/>
          </rPr>
          <t>IMPORTANTE:
Linhas para informar indicador. Devem ter o valor "8" para serem consideradas na avaliação.</t>
        </r>
      </text>
    </comment>
    <comment ref="A49" authorId="1" shapeId="0" xr:uid="{00000000-0006-0000-0D00-00003D000000}">
      <text>
        <r>
          <rPr>
            <sz val="11"/>
            <color indexed="81"/>
            <rFont val="Tahoma"/>
            <family val="2"/>
          </rPr>
          <t>IMPORTANTE:
Linhas para informar indicador. Devem ter o valor "8" para serem consideradas na avaliação.</t>
        </r>
      </text>
    </comment>
    <comment ref="A50" authorId="1" shapeId="0" xr:uid="{00000000-0006-0000-0D00-00003E000000}">
      <text>
        <r>
          <rPr>
            <sz val="11"/>
            <color indexed="81"/>
            <rFont val="Tahoma"/>
            <family val="2"/>
          </rPr>
          <t>IMPORTANTE:
Linhas para informar indicador. Devem ter o valor "8" para serem consideradas na avaliação.</t>
        </r>
      </text>
    </comment>
    <comment ref="A51" authorId="1" shapeId="0" xr:uid="{00000000-0006-0000-0D00-00003F000000}">
      <text>
        <r>
          <rPr>
            <sz val="11"/>
            <color indexed="81"/>
            <rFont val="Tahoma"/>
            <family val="2"/>
          </rPr>
          <t>IMPORTANTE:
Linhas para informar indicador. Devem ter o valor "8" para serem consideradas na avaliação.</t>
        </r>
      </text>
    </comment>
    <comment ref="A52" authorId="1" shapeId="0" xr:uid="{00000000-0006-0000-0D00-000040000000}">
      <text>
        <r>
          <rPr>
            <sz val="11"/>
            <color indexed="81"/>
            <rFont val="Tahoma"/>
            <family val="2"/>
          </rPr>
          <t>IMPORTANTE:
Linhas para informar indicador. Devem ter o valor "8" para serem consideradas na avaliação.</t>
        </r>
      </text>
    </comment>
    <comment ref="A53" authorId="1" shapeId="0" xr:uid="{6FE8F68E-A9B0-4270-9005-9B80B862014A}">
      <text>
        <r>
          <rPr>
            <sz val="11"/>
            <color indexed="81"/>
            <rFont val="Tahoma"/>
            <family val="2"/>
          </rPr>
          <t>IMPORTANTE:
Linhas para informar indicador. Devem ter o valor "8" para serem consideradas na avaliação.</t>
        </r>
      </text>
    </comment>
    <comment ref="A54" authorId="1" shapeId="0" xr:uid="{787724C4-5C1E-4D5E-8EC4-B4B9C1B0DC67}">
      <text>
        <r>
          <rPr>
            <sz val="11"/>
            <color indexed="81"/>
            <rFont val="Tahoma"/>
            <family val="2"/>
          </rPr>
          <t>IMPORTANTE:
Linhas para informar indicador. Devem ter o valor "8" para serem consideradas na avaliação.</t>
        </r>
      </text>
    </comment>
    <comment ref="A55" authorId="1" shapeId="0" xr:uid="{E1036A18-B766-428C-9809-210E9DAFD877}">
      <text>
        <r>
          <rPr>
            <sz val="11"/>
            <color indexed="81"/>
            <rFont val="Tahoma"/>
            <family val="2"/>
          </rPr>
          <t>IMPORTANTE:
Linhas para informar indicador. Devem ter o valor "8" para serem consideradas na avaliação.</t>
        </r>
      </text>
    </comment>
    <comment ref="A56" authorId="1" shapeId="0" xr:uid="{F4F5395C-BAB8-47AC-B685-FCFE5EA8CA94}">
      <text>
        <r>
          <rPr>
            <sz val="11"/>
            <color indexed="81"/>
            <rFont val="Tahoma"/>
            <family val="2"/>
          </rPr>
          <t>IMPORTANTE:
Linhas para informar indicador. Devem ter o valor "8" para serem consideradas na avaliação.</t>
        </r>
      </text>
    </comment>
    <comment ref="A57" authorId="1" shapeId="0" xr:uid="{7222832B-09C0-4650-87DC-912B155EB9A1}">
      <text>
        <r>
          <rPr>
            <sz val="11"/>
            <color indexed="81"/>
            <rFont val="Tahoma"/>
            <family val="2"/>
          </rPr>
          <t>IMPORTANTE:
Linhas para informar indicador. Devem ter o valor "8" para serem consideradas na avaliação.</t>
        </r>
      </text>
    </comment>
    <comment ref="A58" authorId="1" shapeId="0" xr:uid="{AEFE3466-37A7-4915-9539-04715ACD57AF}">
      <text>
        <r>
          <rPr>
            <sz val="11"/>
            <color indexed="81"/>
            <rFont val="Tahoma"/>
            <family val="2"/>
          </rPr>
          <t>IMPORTANTE:
Linhas para informar indicador. Devem ter o valor "8" para serem consideradas na avaliação.</t>
        </r>
      </text>
    </comment>
    <comment ref="A59" authorId="1" shapeId="0" xr:uid="{7FC0BF5C-CA6C-4F35-AEFF-4E8A09596B5A}">
      <text>
        <r>
          <rPr>
            <sz val="11"/>
            <color indexed="81"/>
            <rFont val="Tahoma"/>
            <family val="2"/>
          </rPr>
          <t>IMPORTANTE:
Linhas para informar indicador. Devem ter o valor "8" para serem consideradas na avaliação.</t>
        </r>
      </text>
    </comment>
    <comment ref="A60" authorId="1" shapeId="0" xr:uid="{F08A5CE1-87EC-47AD-A803-5C285604D958}">
      <text>
        <r>
          <rPr>
            <sz val="11"/>
            <color indexed="81"/>
            <rFont val="Tahoma"/>
            <family val="2"/>
          </rPr>
          <t>IMPORTANTE:
Linhas para informar indicador. Devem ter o valor "8" para serem consideradas na avaliação.</t>
        </r>
      </text>
    </comment>
    <comment ref="A61" authorId="1" shapeId="0" xr:uid="{A2B6F5F4-ED9E-4FDD-BACF-00DD40C8B452}">
      <text>
        <r>
          <rPr>
            <sz val="11"/>
            <color indexed="81"/>
            <rFont val="Tahoma"/>
            <family val="2"/>
          </rPr>
          <t>IMPORTANTE:
Linhas para informar indicador. Devem ter o valor "8" para serem consideradas na avaliação.</t>
        </r>
      </text>
    </comment>
    <comment ref="A62" authorId="1" shapeId="0" xr:uid="{5272933E-99CC-4F31-9167-09C8ADFD0C08}">
      <text>
        <r>
          <rPr>
            <sz val="11"/>
            <color indexed="81"/>
            <rFont val="Tahoma"/>
            <family val="2"/>
          </rPr>
          <t>IMPORTANTE:
Linhas para informar indicador. Devem ter o valor "8" para serem consideradas na avaliação.</t>
        </r>
      </text>
    </comment>
    <comment ref="A63" authorId="1" shapeId="0" xr:uid="{6AF0B94D-C672-464B-85D3-ACFEF838917C}">
      <text>
        <r>
          <rPr>
            <sz val="11"/>
            <color indexed="81"/>
            <rFont val="Tahoma"/>
            <family val="2"/>
          </rPr>
          <t>IMPORTANTE:
Linhas para informar indicador. Devem ter o valor "8" para serem consideradas na avaliação.</t>
        </r>
      </text>
    </comment>
    <comment ref="A64" authorId="1" shapeId="0" xr:uid="{00000000-0006-0000-0D00-000041000000}">
      <text>
        <r>
          <rPr>
            <sz val="11"/>
            <color indexed="81"/>
            <rFont val="Tahoma"/>
            <family val="2"/>
          </rPr>
          <t>IMPORTANTE:
Linhas para informar indicador. Devem ter o valor "8" para serem consideradas na avaliação.</t>
        </r>
      </text>
    </comment>
    <comment ref="A65" authorId="1" shapeId="0" xr:uid="{00000000-0006-0000-0D00-000042000000}">
      <text>
        <r>
          <rPr>
            <sz val="11"/>
            <color indexed="81"/>
            <rFont val="Tahoma"/>
            <family val="2"/>
          </rPr>
          <t>IMPORTANTE:
Linhas para informar indicador. Devem ter o valor "8" para serem consideradas na avaliação.</t>
        </r>
      </text>
    </comment>
    <comment ref="A66" authorId="1" shapeId="0" xr:uid="{00000000-0006-0000-0D00-000043000000}">
      <text>
        <r>
          <rPr>
            <sz val="11"/>
            <color indexed="81"/>
            <rFont val="Tahoma"/>
            <family val="2"/>
          </rPr>
          <t>IMPORTANTE:
Linhas para informar indicador. Devem ter o valor "8" para serem consideradas na avaliação.</t>
        </r>
      </text>
    </comment>
    <comment ref="A67" authorId="1" shapeId="0" xr:uid="{00000000-0006-0000-0D00-000044000000}">
      <text>
        <r>
          <rPr>
            <sz val="11"/>
            <color indexed="81"/>
            <rFont val="Tahoma"/>
            <family val="2"/>
          </rPr>
          <t>IMPORTANTE:
Linhas para informar indicador. Devem ter o valor "8" para serem consideradas na avaliação.</t>
        </r>
      </text>
    </comment>
    <comment ref="A68" authorId="1" shapeId="0" xr:uid="{00000000-0006-0000-0D00-000045000000}">
      <text>
        <r>
          <rPr>
            <sz val="11"/>
            <color indexed="81"/>
            <rFont val="Tahoma"/>
            <family val="2"/>
          </rPr>
          <t>IMPORTANTE:
Linhas para informar indicador. Devem ter o valor "8" para serem consideradas na avaliação.</t>
        </r>
      </text>
    </comment>
    <comment ref="A69" authorId="1" shapeId="0" xr:uid="{00000000-0006-0000-0D00-000046000000}">
      <text>
        <r>
          <rPr>
            <sz val="11"/>
            <color indexed="81"/>
            <rFont val="Tahoma"/>
            <family val="2"/>
          </rPr>
          <t>IMPORTANTE:
Linhas para informar indicador. Devem ter o valor "8" para serem consideradas na avaliação.</t>
        </r>
      </text>
    </comment>
    <comment ref="A70" authorId="1" shapeId="0" xr:uid="{00000000-0006-0000-0D00-000047000000}">
      <text>
        <r>
          <rPr>
            <sz val="11"/>
            <color indexed="81"/>
            <rFont val="Tahoma"/>
            <family val="2"/>
          </rPr>
          <t>IMPORTANTE:
Linhas para informar indicador. Devem ter o valor "8" para serem consideradas na avaliação.</t>
        </r>
      </text>
    </comment>
    <comment ref="A71" authorId="1" shapeId="0" xr:uid="{00000000-0006-0000-0D00-000048000000}">
      <text>
        <r>
          <rPr>
            <sz val="11"/>
            <color indexed="81"/>
            <rFont val="Tahoma"/>
            <family val="2"/>
          </rPr>
          <t>IMPORTANTE:
Linhas para informar indicador. Devem ter o valor "8" para serem consideradas na avaliação.</t>
        </r>
      </text>
    </comment>
    <comment ref="A72" authorId="1" shapeId="0" xr:uid="{00000000-0006-0000-0D00-000049000000}">
      <text>
        <r>
          <rPr>
            <sz val="11"/>
            <color indexed="81"/>
            <rFont val="Tahoma"/>
            <family val="2"/>
          </rPr>
          <t>IMPORTANTE:
Linhas para informar indicador. Devem ter o valor "8" para serem consideradas na avaliação.</t>
        </r>
      </text>
    </comment>
    <comment ref="A73" authorId="1" shapeId="0" xr:uid="{425FA0A2-E9D4-4691-A4E2-E8F63776288B}">
      <text>
        <r>
          <rPr>
            <sz val="11"/>
            <color indexed="81"/>
            <rFont val="Tahoma"/>
            <family val="2"/>
          </rPr>
          <t>IMPORTANTE:
Linhas para informar indicador. Devem ter o valor "8" para serem consideradas na avaliação.</t>
        </r>
      </text>
    </comment>
    <comment ref="A74" authorId="1" shapeId="0" xr:uid="{CED4BCEE-0B80-451A-A9C9-0BACE763DCCB}">
      <text>
        <r>
          <rPr>
            <sz val="11"/>
            <color indexed="81"/>
            <rFont val="Tahoma"/>
            <family val="2"/>
          </rPr>
          <t>IMPORTANTE:
Linhas para informar indicador. Devem ter o valor "8" para serem consideradas na avaliação.</t>
        </r>
      </text>
    </comment>
    <comment ref="A75" authorId="1" shapeId="0" xr:uid="{A1D49328-EF02-4CC9-A3EB-EA010CF78B78}">
      <text>
        <r>
          <rPr>
            <sz val="11"/>
            <color indexed="81"/>
            <rFont val="Tahoma"/>
            <family val="2"/>
          </rPr>
          <t>IMPORTANTE:
Linhas para informar indicador. Devem ter o valor "8" para serem consideradas na avaliação.</t>
        </r>
      </text>
    </comment>
    <comment ref="A76" authorId="1" shapeId="0" xr:uid="{0155FEB6-DD38-467F-99B4-95BB7363C08B}">
      <text>
        <r>
          <rPr>
            <sz val="11"/>
            <color indexed="81"/>
            <rFont val="Tahoma"/>
            <family val="2"/>
          </rPr>
          <t>IMPORTANTE:
Linhas para informar indicador. Devem ter o valor "8" para serem consideradas na avaliação.</t>
        </r>
      </text>
    </comment>
    <comment ref="A77" authorId="1" shapeId="0" xr:uid="{3C2267B0-01F2-4122-9275-8C6B53574C99}">
      <text>
        <r>
          <rPr>
            <sz val="11"/>
            <color indexed="81"/>
            <rFont val="Tahoma"/>
            <family val="2"/>
          </rPr>
          <t>IMPORTANTE:
Linhas para informar indicador. Devem ter o valor "8" para serem consideradas na avaliação.</t>
        </r>
      </text>
    </comment>
    <comment ref="A78" authorId="1" shapeId="0" xr:uid="{7821647E-A366-4E8F-8221-DE7EBE81BDB0}">
      <text>
        <r>
          <rPr>
            <sz val="11"/>
            <color indexed="81"/>
            <rFont val="Tahoma"/>
            <family val="2"/>
          </rPr>
          <t>IMPORTANTE:
Linhas para informar indicador. Devem ter o valor "8" para serem consideradas na avaliação.</t>
        </r>
      </text>
    </comment>
    <comment ref="A79" authorId="1" shapeId="0" xr:uid="{8608DDFC-FFC6-43D9-A556-89B60879D464}">
      <text>
        <r>
          <rPr>
            <sz val="11"/>
            <color indexed="81"/>
            <rFont val="Tahoma"/>
            <family val="2"/>
          </rPr>
          <t>IMPORTANTE:
Linhas para informar indicador. Devem ter o valor "8" para serem consideradas na avaliação.</t>
        </r>
      </text>
    </comment>
    <comment ref="A80" authorId="1" shapeId="0" xr:uid="{822C48D3-EE79-4BD6-9214-D9B34F210367}">
      <text>
        <r>
          <rPr>
            <sz val="11"/>
            <color indexed="81"/>
            <rFont val="Tahoma"/>
            <family val="2"/>
          </rPr>
          <t>IMPORTANTE:
Linhas para informar indicador. Devem ter o valor "8" para serem consideradas na avaliação.</t>
        </r>
      </text>
    </comment>
    <comment ref="A81" authorId="1" shapeId="0" xr:uid="{00000000-0006-0000-0D00-00004A000000}">
      <text>
        <r>
          <rPr>
            <sz val="11"/>
            <color indexed="81"/>
            <rFont val="Tahoma"/>
            <family val="2"/>
          </rPr>
          <t>IMPORTANTE:
Linhas para informar indicador. Devem ter o valor "8" para serem consideradas na avaliação.</t>
        </r>
      </text>
    </comment>
    <comment ref="A82" authorId="1" shapeId="0" xr:uid="{00000000-0006-0000-0D00-00004B000000}">
      <text>
        <r>
          <rPr>
            <sz val="11"/>
            <color indexed="81"/>
            <rFont val="Tahoma"/>
            <family val="2"/>
          </rPr>
          <t>IMPORTANTE:
Linhas para informar indicador. Devem ter o valor "8" para serem consideradas na avaliação.</t>
        </r>
      </text>
    </comment>
    <comment ref="A83" authorId="1" shapeId="0" xr:uid="{00000000-0006-0000-0D00-00004C000000}">
      <text>
        <r>
          <rPr>
            <sz val="11"/>
            <color indexed="81"/>
            <rFont val="Tahoma"/>
            <family val="2"/>
          </rPr>
          <t>IMPORTANTE:
Linhas para informar indicador. Devem ter o valor "8" para serem consideradas na avaliação.</t>
        </r>
      </text>
    </comment>
    <comment ref="A84" authorId="1" shapeId="0" xr:uid="{00000000-0006-0000-0D00-00004D000000}">
      <text>
        <r>
          <rPr>
            <sz val="11"/>
            <color indexed="81"/>
            <rFont val="Tahoma"/>
            <family val="2"/>
          </rPr>
          <t>IMPORTANTE:
Linhas para informar indicador. Devem ter o valor "8" para serem consideradas na avaliação.</t>
        </r>
      </text>
    </comment>
    <comment ref="A85" authorId="1" shapeId="0" xr:uid="{00000000-0006-0000-0D00-00004E000000}">
      <text>
        <r>
          <rPr>
            <sz val="11"/>
            <color indexed="81"/>
            <rFont val="Tahoma"/>
            <family val="2"/>
          </rPr>
          <t>IMPORTANTE:
Linhas para informar indicador. Devem ter o valor "8" para serem consideradas na avaliação.</t>
        </r>
      </text>
    </comment>
    <comment ref="A86" authorId="1" shapeId="0" xr:uid="{00000000-0006-0000-0D00-00004F000000}">
      <text>
        <r>
          <rPr>
            <sz val="11"/>
            <color indexed="81"/>
            <rFont val="Tahoma"/>
            <family val="2"/>
          </rPr>
          <t>IMPORTANTE:
Linhas para informar indicador. Devem ter o valor "8" para serem consideradas na avaliação.</t>
        </r>
      </text>
    </comment>
    <comment ref="A87" authorId="1" shapeId="0" xr:uid="{F1677BF6-AED5-4E4C-9DEB-74E185FE69C6}">
      <text>
        <r>
          <rPr>
            <sz val="11"/>
            <color indexed="81"/>
            <rFont val="Tahoma"/>
            <family val="2"/>
          </rPr>
          <t>IMPORTANTE:
Linhas para informar indicador. Devem ter o valor "8" para serem consideradas na avaliação.</t>
        </r>
      </text>
    </comment>
    <comment ref="A88" authorId="1" shapeId="0" xr:uid="{EB55E83F-9CFA-40C6-9BDC-7A68FAA72B0D}">
      <text>
        <r>
          <rPr>
            <sz val="11"/>
            <color indexed="81"/>
            <rFont val="Tahoma"/>
            <family val="2"/>
          </rPr>
          <t>IMPORTANTE:
Linhas para informar indicador. Devem ter o valor "8" para serem consideradas na avaliação.</t>
        </r>
      </text>
    </comment>
    <comment ref="A89" authorId="1" shapeId="0" xr:uid="{8E4D032A-9D4B-4417-8327-60F58432E339}">
      <text>
        <r>
          <rPr>
            <sz val="11"/>
            <color indexed="81"/>
            <rFont val="Tahoma"/>
            <family val="2"/>
          </rPr>
          <t>IMPORTANTE:
Linhas para informar indicador. Devem ter o valor "8" para serem consideradas na avaliação.</t>
        </r>
      </text>
    </comment>
    <comment ref="A90" authorId="1" shapeId="0" xr:uid="{6C360BD0-BDB7-4C70-B21E-66FB6B51F1C5}">
      <text>
        <r>
          <rPr>
            <sz val="11"/>
            <color indexed="81"/>
            <rFont val="Tahoma"/>
            <family val="2"/>
          </rPr>
          <t>IMPORTANTE:
Linhas para informar indicador. Devem ter o valor "8" para serem consideradas na avaliação.</t>
        </r>
      </text>
    </comment>
    <comment ref="A91" authorId="1" shapeId="0" xr:uid="{40005377-E657-48C6-844B-C556F4F5681D}">
      <text>
        <r>
          <rPr>
            <sz val="11"/>
            <color indexed="81"/>
            <rFont val="Tahoma"/>
            <family val="2"/>
          </rPr>
          <t>IMPORTANTE:
Linhas para informar indicador. Devem ter o valor "8" para serem consideradas na avaliação.</t>
        </r>
      </text>
    </comment>
    <comment ref="C94" authorId="1" shapeId="0" xr:uid="{00000000-0006-0000-0D00-00005000000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99" authorId="1" shapeId="0" xr:uid="{00000000-0006-0000-0D00-000051000000}">
      <text>
        <r>
          <rPr>
            <sz val="9"/>
            <color indexed="81"/>
            <rFont val="Tahoma"/>
            <family val="2"/>
          </rPr>
          <t>Inserir linhas se necessário
PF Ponto Forte
OM Oportunidade para Melhoria</t>
        </r>
      </text>
    </comment>
    <comment ref="B100" authorId="1" shapeId="0" xr:uid="{00000000-0006-0000-0D00-000052000000}">
      <text>
        <r>
          <rPr>
            <sz val="9"/>
            <color indexed="81"/>
            <rFont val="Tahoma"/>
            <family val="2"/>
          </rPr>
          <t>Inserir linhas se necessário
PF Ponto Forte
OM Oportunidade para Melhoria</t>
        </r>
      </text>
    </comment>
    <comment ref="B101" authorId="1" shapeId="0" xr:uid="{00000000-0006-0000-0D00-000053000000}">
      <text>
        <r>
          <rPr>
            <sz val="9"/>
            <color indexed="81"/>
            <rFont val="Tahoma"/>
            <family val="2"/>
          </rPr>
          <t>Inserir linhas se necessário
PF Ponto Forte
OM Oportunidade para Melhoria</t>
        </r>
      </text>
    </comment>
    <comment ref="B102" authorId="1" shapeId="0" xr:uid="{00000000-0006-0000-0D00-000054000000}">
      <text>
        <r>
          <rPr>
            <sz val="9"/>
            <color indexed="81"/>
            <rFont val="Tahoma"/>
            <family val="2"/>
          </rPr>
          <t>Inserir linhas se necessário
PF Ponto Forte
OM Oportunidade para Melhoria</t>
        </r>
      </text>
    </comment>
  </commentList>
</comments>
</file>

<file path=xl/sharedStrings.xml><?xml version="1.0" encoding="utf-8"?>
<sst xmlns="http://schemas.openxmlformats.org/spreadsheetml/2006/main" count="2707" uniqueCount="1244">
  <si>
    <t xml:space="preserve">MEGplan®ESG </t>
  </si>
  <si>
    <r>
      <rPr>
        <b/>
        <sz val="14"/>
        <color rgb="FF0000CC"/>
        <rFont val="Calibri"/>
        <family val="2"/>
        <scheme val="minor"/>
      </rPr>
      <t>Planilha de LV</t>
    </r>
    <r>
      <rPr>
        <b/>
        <sz val="14"/>
        <color theme="1"/>
        <rFont val="Calibri"/>
        <family val="2"/>
        <scheme val="minor"/>
      </rPr>
      <t xml:space="preserve"> e de Registro de Avaliações pelo MEGSA® ESG 202</t>
    </r>
    <r>
      <rPr>
        <b/>
        <sz val="14"/>
        <color rgb="FF0000CC"/>
        <rFont val="Calibri"/>
        <family val="2"/>
        <scheme val="minor"/>
      </rPr>
      <t>5</t>
    </r>
  </si>
  <si>
    <r>
      <t xml:space="preserve">Digitar Token 
</t>
    </r>
    <r>
      <rPr>
        <sz val="9"/>
        <color theme="1"/>
        <rFont val="Calibri"/>
        <family val="2"/>
        <scheme val="minor"/>
      </rPr>
      <t>licenciamento</t>
    </r>
    <r>
      <rPr>
        <sz val="10"/>
        <color theme="1"/>
        <rFont val="Calibri"/>
        <family val="2"/>
        <scheme val="minor"/>
      </rPr>
      <t>.</t>
    </r>
    <r>
      <rPr>
        <sz val="10"/>
        <color theme="1"/>
        <rFont val="Wingdings 3"/>
        <family val="1"/>
        <charset val="2"/>
      </rPr>
      <t>i</t>
    </r>
  </si>
  <si>
    <t>Candidata</t>
  </si>
  <si>
    <t>Examinador</t>
  </si>
  <si>
    <t>Organiz.:</t>
  </si>
  <si>
    <t>Nível:</t>
  </si>
  <si>
    <t>Exigências que aparecerem em vermelho são de outro Nível e não devem ser respondidas.</t>
  </si>
  <si>
    <t>CNPJ:</t>
  </si>
  <si>
    <t>Controle de versão</t>
  </si>
  <si>
    <t>Estatísticas</t>
  </si>
  <si>
    <t>Critério</t>
  </si>
  <si>
    <t>PGs Tots</t>
  </si>
  <si>
    <t>PGs Avals</t>
  </si>
  <si>
    <t>PGsAtend</t>
  </si>
  <si>
    <t>PGsAtend Parc.</t>
  </si>
  <si>
    <t>Exigs LV</t>
  </si>
  <si>
    <t>%LV Resp</t>
  </si>
  <si>
    <t>%LV Atnd Méd</t>
  </si>
  <si>
    <t>Total</t>
  </si>
  <si>
    <t>Limite de caracteres da Evidência de linhas de LVs (só para candidaturas).......................</t>
  </si>
  <si>
    <t>Desenvolvido por</t>
  </si>
  <si>
    <t>LV</t>
  </si>
  <si>
    <t>Fatores de avaliação</t>
  </si>
  <si>
    <t>Bônus</t>
  </si>
  <si>
    <t>+ / -</t>
  </si>
  <si>
    <t>Nv</t>
  </si>
  <si>
    <t>Cód</t>
  </si>
  <si>
    <t>SNPNa</t>
  </si>
  <si>
    <t>Justificativa de não aplicabilidade</t>
  </si>
  <si>
    <t>Conf</t>
  </si>
  <si>
    <t>carac</t>
  </si>
  <si>
    <t>Evidência</t>
  </si>
  <si>
    <t>Enx</t>
  </si>
  <si>
    <t>Proa</t>
  </si>
  <si>
    <t>Digit</t>
  </si>
  <si>
    <t>IA?</t>
  </si>
  <si>
    <t>Abrg</t>
  </si>
  <si>
    <t>Efet</t>
  </si>
  <si>
    <t>Inov</t>
  </si>
  <si>
    <t>Orig?</t>
  </si>
  <si>
    <t>Comentário</t>
  </si>
  <si>
    <t>PV</t>
  </si>
  <si>
    <t>Quem1</t>
  </si>
  <si>
    <t>Quem2</t>
  </si>
  <si>
    <t>Quem3</t>
  </si>
  <si>
    <t>1.</t>
  </si>
  <si>
    <t>CRITÉRIO 1 - LIDERANÇA</t>
  </si>
  <si>
    <t xml:space="preserve">Este Critério trata da gestão do desenvolvimento da cultura, governança e exercício da liderança, enfatizando seu papel para o desenvolvimento sustentável. </t>
  </si>
  <si>
    <t>1.1</t>
  </si>
  <si>
    <t>1.1 Desenvolvimento da cultura</t>
  </si>
  <si>
    <t>1.1a</t>
  </si>
  <si>
    <t>a) Estabelecimento de valores e princípios e padrões de conduta</t>
  </si>
  <si>
    <t>&lt;B&gt;</t>
  </si>
  <si>
    <t>PG</t>
  </si>
  <si>
    <r>
      <t xml:space="preserve">Visa a </t>
    </r>
    <r>
      <rPr>
        <b/>
        <u/>
        <sz val="10"/>
        <rFont val="Calibri"/>
        <family val="2"/>
        <scheme val="minor"/>
      </rPr>
      <t>enfatizar</t>
    </r>
    <r>
      <rPr>
        <b/>
        <sz val="10"/>
        <rFont val="Calibri"/>
        <family val="2"/>
        <scheme val="minor"/>
      </rPr>
      <t xml:space="preserve"> a filosofia e direcionamento valorizados pela organização para poder realizar sua visão de futuro, com </t>
    </r>
    <r>
      <rPr>
        <b/>
        <i/>
        <sz val="10"/>
        <rFont val="Calibri"/>
        <family val="2"/>
        <scheme val="minor"/>
      </rPr>
      <t>desenvolvimento sustentável</t>
    </r>
    <r>
      <rPr>
        <b/>
        <sz val="10"/>
        <rFont val="Calibri"/>
        <family val="2"/>
        <scheme val="minor"/>
      </rPr>
      <t xml:space="preserve">, incluindo a observância a padrões de conduta ética no ambiente em que opera e faz negócios. </t>
    </r>
  </si>
  <si>
    <t>Sumarizar os valores e princípios e colar link para o código de conduta.</t>
  </si>
  <si>
    <r>
      <t xml:space="preserve">Os valores e princípios devem explicitar o compromisso com o </t>
    </r>
    <r>
      <rPr>
        <b/>
        <i/>
        <sz val="11"/>
        <rFont val="Calibri"/>
        <family val="2"/>
        <scheme val="minor"/>
      </rPr>
      <t xml:space="preserve">desenvolvimento sustentável </t>
    </r>
    <r>
      <rPr>
        <b/>
        <sz val="11"/>
        <rFont val="Calibri"/>
        <family val="2"/>
        <scheme val="minor"/>
      </rPr>
      <t>e foco no cliente.</t>
    </r>
  </si>
  <si>
    <r>
      <t xml:space="preserve">Os valores e princípios e o código de conduta ética devem ser estabelecidos e atualizados a partir do direcionamento dos </t>
    </r>
    <r>
      <rPr>
        <b/>
        <i/>
        <sz val="11"/>
        <rFont val="Calibri"/>
        <family val="2"/>
        <scheme val="minor"/>
      </rPr>
      <t>administradores</t>
    </r>
    <r>
      <rPr>
        <b/>
        <sz val="11"/>
        <color rgb="FF0070C0"/>
        <rFont val="Calibri"/>
        <family val="2"/>
        <scheme val="minor"/>
      </rPr>
      <t>50</t>
    </r>
  </si>
  <si>
    <r>
      <t xml:space="preserve">Os valores e princípios e o código de conduta ética devem ser </t>
    </r>
    <r>
      <rPr>
        <b/>
        <sz val="11"/>
        <color rgb="FF0070C0"/>
        <rFont val="Calibri"/>
        <family val="2"/>
        <scheme val="minor"/>
      </rPr>
      <t xml:space="preserve">estimulados a serem vivenciados </t>
    </r>
    <r>
      <rPr>
        <b/>
        <sz val="11"/>
        <rFont val="Calibri"/>
        <family val="2"/>
        <scheme val="minor"/>
      </rPr>
      <t>internamente</t>
    </r>
    <r>
      <rPr>
        <b/>
        <sz val="11"/>
        <color rgb="FF0070C0"/>
        <rFont val="Calibri"/>
        <family val="2"/>
        <scheme val="minor"/>
      </rPr>
      <t>51</t>
    </r>
    <r>
      <rPr>
        <b/>
        <sz val="11"/>
        <rFont val="Calibri"/>
        <family val="2"/>
        <scheme val="minor"/>
      </rPr>
      <t xml:space="preserve"> e divulgados externamente, em locais e situações importantes.</t>
    </r>
  </si>
  <si>
    <r>
      <t xml:space="preserve">A </t>
    </r>
    <r>
      <rPr>
        <b/>
        <i/>
        <sz val="11"/>
        <rFont val="Calibri"/>
        <family val="2"/>
      </rPr>
      <t>direção</t>
    </r>
    <r>
      <rPr>
        <b/>
        <sz val="11"/>
        <rFont val="Calibri"/>
        <family val="2"/>
      </rPr>
      <t xml:space="preserve"> deve se comprometer com a comunicação dos valores e princípios para as </t>
    </r>
    <r>
      <rPr>
        <b/>
        <i/>
        <sz val="11"/>
        <rFont val="Calibri"/>
        <family val="2"/>
      </rPr>
      <t>partes interessadas</t>
    </r>
    <r>
      <rPr>
        <b/>
        <sz val="11"/>
        <rFont val="Calibri"/>
        <family val="2"/>
      </rPr>
      <t xml:space="preserve"> mais importantes.</t>
    </r>
  </si>
  <si>
    <t>O canal de denúncia deve ser divulgado, para recebimento, avaliação e tratamento de atitudes eticamente suspeitas.</t>
  </si>
  <si>
    <t>&lt;1&gt;</t>
  </si>
  <si>
    <t>O código de conduta deve ser anunciado ativamente para novos interlocutores da organização, com a profundidade requerida pelo tipo de relacionamento.</t>
  </si>
  <si>
    <t>&lt;2&gt;</t>
  </si>
  <si>
    <t>O tratamento de denúncias deve possibilitar que as partes envolvidas possam fornecer suas versões dos fatos e a conclusão do tratamento deve incluir retorno aos envolvidos.</t>
  </si>
  <si>
    <r>
      <t xml:space="preserve">Os canais de denúncia devem ter independência suficiente para que as ocorrências sejam investigadas, tratadas com imparcialidade e agilidade e reportadas aos proprietários, mantenedores, instituidores ou seus representantes e outras instâncias de controle dos atos da </t>
    </r>
    <r>
      <rPr>
        <b/>
        <i/>
        <sz val="11"/>
        <rFont val="Calibri"/>
        <family val="2"/>
        <scheme val="minor"/>
      </rPr>
      <t>administração</t>
    </r>
    <r>
      <rPr>
        <b/>
        <sz val="11"/>
        <color rgb="FF0070C0"/>
        <rFont val="Calibri"/>
        <family val="2"/>
        <scheme val="minor"/>
      </rPr>
      <t>52</t>
    </r>
    <r>
      <rPr>
        <b/>
        <sz val="11"/>
        <rFont val="Calibri"/>
        <family val="2"/>
        <scheme val="minor"/>
      </rPr>
      <t xml:space="preserve"> aplicáveis. </t>
    </r>
  </si>
  <si>
    <r>
      <t xml:space="preserve">A interação com integrantes da </t>
    </r>
    <r>
      <rPr>
        <b/>
        <i/>
        <sz val="11"/>
        <rFont val="Calibri"/>
        <family val="2"/>
        <scheme val="minor"/>
      </rPr>
      <t>força de trabalho</t>
    </r>
    <r>
      <rPr>
        <b/>
        <sz val="11"/>
        <rFont val="Calibri"/>
        <family val="2"/>
        <scheme val="minor"/>
      </rPr>
      <t xml:space="preserve">, </t>
    </r>
    <r>
      <rPr>
        <b/>
        <i/>
        <sz val="11"/>
        <rFont val="Calibri"/>
        <family val="2"/>
        <scheme val="minor"/>
      </rPr>
      <t>clientes</t>
    </r>
    <r>
      <rPr>
        <b/>
        <sz val="11"/>
        <rFont val="Calibri"/>
        <family val="2"/>
        <scheme val="minor"/>
      </rPr>
      <t xml:space="preserve">, </t>
    </r>
    <r>
      <rPr>
        <b/>
        <i/>
        <sz val="11"/>
        <rFont val="Calibri"/>
        <family val="2"/>
        <scheme val="minor"/>
      </rPr>
      <t>fornecedores</t>
    </r>
    <r>
      <rPr>
        <b/>
        <sz val="11"/>
        <rFont val="Calibri"/>
        <family val="2"/>
        <scheme val="minor"/>
      </rPr>
      <t xml:space="preserve"> e órgãos de fiscalização/regulação deve ser regulada com padrões</t>
    </r>
    <r>
      <rPr>
        <b/>
        <sz val="11"/>
        <color rgb="FF0070C0"/>
        <rFont val="Calibri"/>
        <family val="2"/>
        <scheme val="minor"/>
      </rPr>
      <t>53</t>
    </r>
    <r>
      <rPr>
        <b/>
        <sz val="11"/>
        <rFont val="Calibri"/>
        <family val="2"/>
        <scheme val="minor"/>
      </rPr>
      <t xml:space="preserve"> que previnam</t>
    </r>
    <r>
      <rPr>
        <b/>
        <sz val="11"/>
        <color rgb="FF0070C0"/>
        <rFont val="Calibri"/>
        <family val="2"/>
        <scheme val="minor"/>
      </rPr>
      <t>54</t>
    </r>
    <r>
      <rPr>
        <b/>
        <sz val="11"/>
        <rFont val="Calibri"/>
        <family val="2"/>
        <scheme val="minor"/>
      </rPr>
      <t xml:space="preserve">  atitudes e assédio não éticos e que combatam a corrupção.</t>
    </r>
  </si>
  <si>
    <r>
      <t xml:space="preserve">A divulgação do código de conduta para a </t>
    </r>
    <r>
      <rPr>
        <b/>
        <i/>
        <sz val="11"/>
        <rFont val="Calibri"/>
        <family val="2"/>
        <scheme val="minor"/>
      </rPr>
      <t>força de trabalho</t>
    </r>
    <r>
      <rPr>
        <b/>
        <sz val="11"/>
        <rFont val="Calibri"/>
        <family val="2"/>
        <scheme val="minor"/>
      </rPr>
      <t xml:space="preserve"> deve incluir avaliação de seu entendimento.</t>
    </r>
  </si>
  <si>
    <r>
      <t xml:space="preserve">As ocorrências de violação ao código de conduta devem ser avaliadas por meio de </t>
    </r>
    <r>
      <rPr>
        <b/>
        <i/>
        <sz val="11"/>
        <rFont val="Calibri"/>
        <family val="2"/>
        <scheme val="minor"/>
      </rPr>
      <t>indicador</t>
    </r>
    <r>
      <rPr>
        <b/>
        <sz val="11"/>
        <rFont val="Calibri"/>
        <family val="2"/>
        <scheme val="minor"/>
      </rPr>
      <t>.</t>
    </r>
  </si>
  <si>
    <t>&lt;3&gt;</t>
  </si>
  <si>
    <r>
      <t xml:space="preserve">A </t>
    </r>
    <r>
      <rPr>
        <b/>
        <i/>
        <sz val="11"/>
        <rFont val="Calibri"/>
        <family val="2"/>
        <scheme val="minor"/>
      </rPr>
      <t>força de trabalho</t>
    </r>
    <r>
      <rPr>
        <b/>
        <sz val="11"/>
        <rFont val="Calibri"/>
        <family val="2"/>
        <scheme val="minor"/>
      </rPr>
      <t xml:space="preserve"> deve participar do estabelecimento de valores e princípios.</t>
    </r>
  </si>
  <si>
    <t>As ocorrências ou mal-entendidos sobre o código de conduta devem ser analisadas por tipo para localizar as causas raízes e retroalimentar a melhoria do código.</t>
  </si>
  <si>
    <r>
      <t xml:space="preserve">A adesão da </t>
    </r>
    <r>
      <rPr>
        <b/>
        <i/>
        <sz val="11"/>
        <rFont val="Calibri"/>
        <family val="2"/>
        <scheme val="minor"/>
      </rPr>
      <t>força de trabalho</t>
    </r>
    <r>
      <rPr>
        <b/>
        <sz val="11"/>
        <rFont val="Calibri"/>
        <family val="2"/>
        <scheme val="minor"/>
      </rPr>
      <t xml:space="preserve"> aos valores e princípios e o conhecimento sobre o código de conduta devem ser avaliados por meio de </t>
    </r>
    <r>
      <rPr>
        <b/>
        <i/>
        <sz val="11"/>
        <rFont val="Calibri"/>
        <family val="2"/>
        <scheme val="minor"/>
      </rPr>
      <t>indicadores</t>
    </r>
    <r>
      <rPr>
        <b/>
        <sz val="11"/>
        <rFont val="Calibri"/>
        <family val="2"/>
        <scheme val="minor"/>
      </rPr>
      <t>.</t>
    </r>
  </si>
  <si>
    <t>1.1b</t>
  </si>
  <si>
    <t>b) Promoção de mudanças culturais</t>
  </si>
  <si>
    <r>
      <t xml:space="preserve">Tem as finalidades de </t>
    </r>
    <r>
      <rPr>
        <b/>
        <u/>
        <sz val="10"/>
        <rFont val="Calibri"/>
        <family val="2"/>
        <scheme val="minor"/>
      </rPr>
      <t>identificar</t>
    </r>
    <r>
      <rPr>
        <b/>
        <sz val="10"/>
        <rFont val="Calibri"/>
        <family val="2"/>
        <scheme val="minor"/>
      </rPr>
      <t xml:space="preserve"> os principais </t>
    </r>
    <r>
      <rPr>
        <b/>
        <i/>
        <sz val="10"/>
        <rFont val="Calibri"/>
        <family val="2"/>
        <scheme val="minor"/>
      </rPr>
      <t xml:space="preserve">aspectos da cultura </t>
    </r>
    <r>
      <rPr>
        <b/>
        <sz val="10"/>
        <rFont val="Calibri"/>
        <family val="2"/>
        <scheme val="minor"/>
      </rPr>
      <t xml:space="preserve">organizacional, </t>
    </r>
    <r>
      <rPr>
        <b/>
        <sz val="10"/>
        <color rgb="FF0070C0"/>
        <rFont val="Calibri"/>
        <family val="2"/>
        <scheme val="minor"/>
      </rPr>
      <t>atual e futura</t>
    </r>
    <r>
      <rPr>
        <b/>
        <sz val="10"/>
        <rFont val="Calibri"/>
        <family val="2"/>
        <scheme val="minor"/>
      </rPr>
      <t xml:space="preserve">, </t>
    </r>
    <r>
      <rPr>
        <b/>
        <u/>
        <sz val="10"/>
        <rFont val="Calibri"/>
        <family val="2"/>
        <scheme val="minor"/>
      </rPr>
      <t>reforçar</t>
    </r>
    <r>
      <rPr>
        <b/>
        <sz val="10"/>
        <rFont val="Calibri"/>
        <family val="2"/>
        <scheme val="minor"/>
      </rPr>
      <t xml:space="preserve"> os aspectos funcionais que favorecem</t>
    </r>
    <r>
      <rPr>
        <b/>
        <sz val="10"/>
        <color rgb="FF0070C0"/>
        <rFont val="Calibri"/>
        <family val="2"/>
        <scheme val="minor"/>
      </rPr>
      <t xml:space="preserve">55 </t>
    </r>
    <r>
      <rPr>
        <b/>
        <sz val="10"/>
        <rFont val="Calibri"/>
        <family val="2"/>
        <scheme val="minor"/>
      </rPr>
      <t xml:space="preserve">o alcance dos objetivos e a prática dos valores e princípios, incluindo de </t>
    </r>
    <r>
      <rPr>
        <b/>
        <i/>
        <sz val="10"/>
        <rFont val="Calibri"/>
        <family val="2"/>
        <scheme val="minor"/>
      </rPr>
      <t>desenvolvimento sustentável</t>
    </r>
    <r>
      <rPr>
        <b/>
        <sz val="10"/>
        <rFont val="Calibri"/>
        <family val="2"/>
        <scheme val="minor"/>
      </rPr>
      <t xml:space="preserve">, e </t>
    </r>
    <r>
      <rPr>
        <b/>
        <u/>
        <sz val="10"/>
        <rFont val="Calibri"/>
        <family val="2"/>
        <scheme val="minor"/>
      </rPr>
      <t>tratar</t>
    </r>
    <r>
      <rPr>
        <b/>
        <sz val="10"/>
        <rFont val="Calibri"/>
        <family val="2"/>
        <scheme val="minor"/>
      </rPr>
      <t xml:space="preserve"> os aspectos disfuncionais</t>
    </r>
    <r>
      <rPr>
        <b/>
        <sz val="10"/>
        <color rgb="FF0070C0"/>
        <rFont val="Calibri"/>
        <family val="2"/>
        <scheme val="minor"/>
      </rPr>
      <t>56</t>
    </r>
    <r>
      <rPr>
        <b/>
        <sz val="10"/>
        <rFont val="Calibri"/>
        <family val="2"/>
        <scheme val="minor"/>
      </rPr>
      <t xml:space="preserve"> que tendem a desfavorecê-los. </t>
    </r>
  </si>
  <si>
    <t>Exemplificar aspecto disfuncional que está sendo tratado ou declarar que não existe.</t>
  </si>
  <si>
    <r>
      <t>A comunicação positiva</t>
    </r>
    <r>
      <rPr>
        <b/>
        <sz val="11"/>
        <color rgb="FF0070C0"/>
        <rFont val="Calibri"/>
        <family val="2"/>
        <scheme val="minor"/>
      </rPr>
      <t>57</t>
    </r>
    <r>
      <rPr>
        <b/>
        <sz val="11"/>
        <rFont val="Calibri"/>
        <family val="2"/>
        <scheme val="minor"/>
      </rPr>
      <t xml:space="preserve"> deve ser utilizada para capitalizar os aspectos culturais favoráveis e mitigar os desfavoráveis.</t>
    </r>
  </si>
  <si>
    <r>
      <t xml:space="preserve">A identificação de aspectos funcionais e disfuncionais da cultura organizacional deve ser feita com método que possibilite </t>
    </r>
    <r>
      <rPr>
        <b/>
        <sz val="11"/>
        <color rgb="FF0070C0"/>
        <rFont val="Calibri"/>
        <family val="2"/>
        <scheme val="minor"/>
      </rPr>
      <t>análise mais isenta58</t>
    </r>
    <r>
      <rPr>
        <b/>
        <sz val="11"/>
        <rFont val="Calibri"/>
        <family val="2"/>
        <scheme val="minor"/>
      </rPr>
      <t>.</t>
    </r>
  </si>
  <si>
    <t>As mudanças culturais de grande alcance devem ser incorporadas por meio da aplicação de metodologias participativas.</t>
  </si>
  <si>
    <r>
      <t xml:space="preserve">Os recém integrados à </t>
    </r>
    <r>
      <rPr>
        <b/>
        <i/>
        <sz val="11"/>
        <rFont val="Calibri"/>
        <family val="2"/>
        <scheme val="minor"/>
      </rPr>
      <t>força de trabalho</t>
    </r>
    <r>
      <rPr>
        <b/>
        <sz val="11"/>
        <rFont val="Calibri"/>
        <family val="2"/>
        <scheme val="minor"/>
      </rPr>
      <t>, mais suscetíveis a percepção de particularidades da cultura, devem ser consultados sobre suas percepções.</t>
    </r>
  </si>
  <si>
    <r>
      <t xml:space="preserve">A aplicação de metodologias participativas nas mudanças culturais deve estimular a diversidade de ideias e a colaboração </t>
    </r>
    <r>
      <rPr>
        <b/>
        <sz val="11"/>
        <color rgb="FF0070C0"/>
        <rFont val="Calibri"/>
        <family val="2"/>
        <scheme val="minor"/>
      </rPr>
      <t>no tratamento dos aspectos da cultura a serem desenvolvidos.</t>
    </r>
  </si>
  <si>
    <t>1.2</t>
  </si>
  <si>
    <t xml:space="preserve">1.2 Governança </t>
  </si>
  <si>
    <t>1.2a</t>
  </si>
  <si>
    <r>
      <t xml:space="preserve">a) Estruturação da governança </t>
    </r>
    <r>
      <rPr>
        <b/>
        <sz val="11"/>
        <color rgb="FF0070C0"/>
        <rFont val="Calibri"/>
        <family val="2"/>
        <scheme val="minor"/>
      </rPr>
      <t>e continuidade</t>
    </r>
  </si>
  <si>
    <r>
      <t xml:space="preserve">Tem os objetivos de </t>
    </r>
    <r>
      <rPr>
        <b/>
        <u/>
        <sz val="10"/>
        <rFont val="Calibri"/>
        <family val="2"/>
        <scheme val="minor"/>
      </rPr>
      <t>assegurar</t>
    </r>
    <r>
      <rPr>
        <b/>
        <sz val="10"/>
        <rFont val="Calibri"/>
        <family val="2"/>
        <scheme val="minor"/>
      </rPr>
      <t xml:space="preserve"> o estabelecimento de diretrizes</t>
    </r>
    <r>
      <rPr>
        <b/>
        <sz val="10"/>
        <color rgb="FF0070C0"/>
        <rFont val="Calibri"/>
        <family val="2"/>
        <scheme val="minor"/>
      </rPr>
      <t>59</t>
    </r>
    <r>
      <rPr>
        <b/>
        <sz val="10"/>
        <rFont val="Calibri"/>
        <family val="2"/>
        <scheme val="minor"/>
      </rPr>
      <t xml:space="preserve"> e formas para promoção de transparência, controle externo independente, prestação de contas pela </t>
    </r>
    <r>
      <rPr>
        <b/>
        <i/>
        <sz val="10"/>
        <rFont val="Calibri"/>
        <family val="2"/>
        <scheme val="minor"/>
      </rPr>
      <t>administração</t>
    </r>
    <r>
      <rPr>
        <b/>
        <sz val="10"/>
        <rFont val="Calibri"/>
        <family val="2"/>
        <scheme val="minor"/>
      </rPr>
      <t>, compatíveis com seu regime jurídico</t>
    </r>
    <r>
      <rPr>
        <b/>
        <sz val="10"/>
        <color rgb="FF0070C0"/>
        <rFont val="Calibri"/>
        <family val="2"/>
        <scheme val="minor"/>
      </rPr>
      <t>60</t>
    </r>
    <r>
      <rPr>
        <b/>
        <sz val="10"/>
        <rFont val="Calibri"/>
        <family val="2"/>
        <scheme val="minor"/>
      </rPr>
      <t xml:space="preserve"> e as melhores práticas de </t>
    </r>
    <r>
      <rPr>
        <b/>
        <i/>
        <sz val="10"/>
        <rFont val="Calibri"/>
        <family val="2"/>
        <scheme val="minor"/>
      </rPr>
      <t>governança</t>
    </r>
    <r>
      <rPr>
        <b/>
        <sz val="10"/>
        <rFont val="Calibri"/>
        <family val="2"/>
        <scheme val="minor"/>
      </rPr>
      <t xml:space="preserve">, </t>
    </r>
    <r>
      <rPr>
        <b/>
        <sz val="10"/>
        <color rgb="FF0070C0"/>
        <rFont val="Calibri"/>
        <family val="2"/>
        <scheme val="minor"/>
      </rPr>
      <t>e de garantia61</t>
    </r>
    <r>
      <rPr>
        <b/>
        <sz val="10"/>
        <rFont val="Calibri"/>
        <family val="2"/>
        <scheme val="minor"/>
      </rPr>
      <t xml:space="preserve"> </t>
    </r>
    <r>
      <rPr>
        <b/>
        <sz val="10"/>
        <color rgb="FF0070C0"/>
        <rFont val="Calibri"/>
        <family val="2"/>
        <scheme val="minor"/>
      </rPr>
      <t>da</t>
    </r>
    <r>
      <rPr>
        <b/>
        <sz val="10"/>
        <rFont val="Calibri"/>
        <family val="2"/>
        <scheme val="minor"/>
      </rPr>
      <t xml:space="preserve"> continuidade do negócio em eventos de ruptura.</t>
    </r>
  </si>
  <si>
    <r>
      <t xml:space="preserve">As diretrizes estabelecidas para a organização devem incluir políticas relativas à gestão e ao </t>
    </r>
    <r>
      <rPr>
        <b/>
        <i/>
        <sz val="11"/>
        <rFont val="Calibri"/>
        <family val="2"/>
        <scheme val="minor"/>
      </rPr>
      <t>desenvolvimento sustentável</t>
    </r>
    <r>
      <rPr>
        <b/>
        <sz val="11"/>
        <rFont val="Calibri"/>
        <family val="2"/>
        <scheme val="minor"/>
      </rPr>
      <t>.</t>
    </r>
  </si>
  <si>
    <r>
      <t xml:space="preserve">A </t>
    </r>
    <r>
      <rPr>
        <b/>
        <sz val="11"/>
        <color rgb="FF0070C0"/>
        <rFont val="Calibri"/>
        <family val="2"/>
        <scheme val="minor"/>
      </rPr>
      <t>instância</t>
    </r>
    <r>
      <rPr>
        <b/>
        <sz val="11"/>
        <rFont val="Calibri"/>
        <family val="2"/>
        <scheme val="minor"/>
      </rPr>
      <t xml:space="preserve"> controladora deve monitorar </t>
    </r>
    <r>
      <rPr>
        <b/>
        <sz val="11"/>
        <color rgb="FF0070C0"/>
        <rFont val="Calibri"/>
        <family val="2"/>
        <scheme val="minor"/>
      </rPr>
      <t xml:space="preserve">a exposição a </t>
    </r>
    <r>
      <rPr>
        <b/>
        <i/>
        <sz val="11"/>
        <color rgb="FF0070C0"/>
        <rFont val="Calibri"/>
        <family val="2"/>
        <scheme val="minor"/>
      </rPr>
      <t>riscos</t>
    </r>
    <r>
      <rPr>
        <b/>
        <sz val="11"/>
        <color rgb="FF0070C0"/>
        <rFont val="Calibri"/>
        <family val="2"/>
        <scheme val="minor"/>
      </rPr>
      <t>.</t>
    </r>
  </si>
  <si>
    <r>
      <t xml:space="preserve">Os atos da </t>
    </r>
    <r>
      <rPr>
        <b/>
        <i/>
        <sz val="11"/>
        <rFont val="Calibri"/>
        <family val="2"/>
        <scheme val="minor"/>
      </rPr>
      <t>direção</t>
    </r>
    <r>
      <rPr>
        <b/>
        <sz val="11"/>
        <rFont val="Calibri"/>
        <family val="2"/>
        <scheme val="minor"/>
      </rPr>
      <t xml:space="preserve"> devem ser controlados por instância independente</t>
    </r>
    <r>
      <rPr>
        <b/>
        <sz val="11"/>
        <color rgb="FF0070C0"/>
        <rFont val="Calibri"/>
        <family val="2"/>
        <scheme val="minor"/>
      </rPr>
      <t>62</t>
    </r>
    <r>
      <rPr>
        <b/>
        <sz val="11"/>
        <rFont val="Calibri"/>
        <family val="2"/>
        <scheme val="minor"/>
      </rPr>
      <t xml:space="preserve"> e, quando necessário, incluir parecer com recomendações aos responsáveis internos da organização.</t>
    </r>
  </si>
  <si>
    <r>
      <t>A prestação de contas aos responsáveis</t>
    </r>
    <r>
      <rPr>
        <b/>
        <sz val="11"/>
        <color rgb="FF0070C0"/>
        <rFont val="Calibri"/>
        <family val="2"/>
        <scheme val="minor"/>
      </rPr>
      <t>63</t>
    </r>
    <r>
      <rPr>
        <b/>
        <sz val="11"/>
        <rFont val="Calibri"/>
        <family val="2"/>
        <scheme val="minor"/>
      </rPr>
      <t xml:space="preserve"> pela organização, </t>
    </r>
    <r>
      <rPr>
        <b/>
        <sz val="11"/>
        <color rgb="FF0070C0"/>
        <rFont val="Calibri"/>
        <family val="2"/>
        <scheme val="minor"/>
      </rPr>
      <t>às instâncias ou órgãos de controle e auditoria externos64</t>
    </r>
    <r>
      <rPr>
        <b/>
        <sz val="11"/>
        <rFont val="Calibri"/>
        <family val="2"/>
        <scheme val="minor"/>
      </rPr>
      <t xml:space="preserve">, à sociedade e outras partes interessadas aplicáveis, deve incluir os resultados das ações de </t>
    </r>
    <r>
      <rPr>
        <b/>
        <i/>
        <sz val="11"/>
        <rFont val="Calibri"/>
        <family val="2"/>
        <scheme val="minor"/>
      </rPr>
      <t>desenvolvimento sustentável</t>
    </r>
    <r>
      <rPr>
        <b/>
        <sz val="11"/>
        <rFont val="Calibri"/>
        <family val="2"/>
        <scheme val="minor"/>
      </rPr>
      <t xml:space="preserve">, </t>
    </r>
    <r>
      <rPr>
        <b/>
        <sz val="11"/>
        <color rgb="FF0070C0"/>
        <rFont val="Calibri"/>
        <family val="2"/>
        <scheme val="minor"/>
      </rPr>
      <t xml:space="preserve">exposição a </t>
    </r>
    <r>
      <rPr>
        <b/>
        <i/>
        <sz val="11"/>
        <color rgb="FF0070C0"/>
        <rFont val="Calibri"/>
        <family val="2"/>
        <scheme val="minor"/>
      </rPr>
      <t>riscos</t>
    </r>
    <r>
      <rPr>
        <b/>
        <sz val="11"/>
        <color rgb="FF0070C0"/>
        <rFont val="Calibri"/>
        <family val="2"/>
        <scheme val="minor"/>
      </rPr>
      <t xml:space="preserve"> e status da conformidade regulatória e com diretrizes65 internas.</t>
    </r>
  </si>
  <si>
    <r>
      <t xml:space="preserve">Os mecanismos para assegurar </t>
    </r>
    <r>
      <rPr>
        <b/>
        <i/>
        <sz val="11"/>
        <rFont val="Calibri"/>
        <family val="2"/>
        <scheme val="minor"/>
      </rPr>
      <t>continuidade do negócio</t>
    </r>
    <r>
      <rPr>
        <b/>
        <sz val="11"/>
        <rFont val="Calibri"/>
        <family val="2"/>
        <scheme val="minor"/>
      </rPr>
      <t xml:space="preserve"> devem incluir o acesso a recursos pré-definidos e possuir métodos necessários para permitir voltar ao regime de normalidade</t>
    </r>
    <r>
      <rPr>
        <b/>
        <sz val="11"/>
        <color rgb="FF0070C0"/>
        <rFont val="Calibri"/>
        <family val="2"/>
        <scheme val="minor"/>
      </rPr>
      <t>66</t>
    </r>
    <r>
      <rPr>
        <b/>
        <sz val="11"/>
        <rFont val="Calibri"/>
        <family val="2"/>
        <scheme val="minor"/>
      </rPr>
      <t xml:space="preserve">. </t>
    </r>
  </si>
  <si>
    <r>
      <t xml:space="preserve">As políticas relativas à gestão e ao desenvolvimento sustentável devem ser integradas </t>
    </r>
    <r>
      <rPr>
        <b/>
        <sz val="11"/>
        <color rgb="FF0070C0"/>
        <rFont val="Calibri"/>
        <family val="2"/>
        <scheme val="minor"/>
      </rPr>
      <t>entre si</t>
    </r>
    <r>
      <rPr>
        <b/>
        <sz val="11"/>
        <rFont val="Calibri"/>
        <family val="2"/>
        <scheme val="minor"/>
      </rPr>
      <t>.</t>
    </r>
  </si>
  <si>
    <r>
      <t xml:space="preserve">As diretrizes devem ser tratadas diretamente com o nível de </t>
    </r>
    <r>
      <rPr>
        <b/>
        <i/>
        <sz val="11"/>
        <rFont val="Calibri"/>
        <family val="2"/>
        <scheme val="minor"/>
      </rPr>
      <t>direção</t>
    </r>
    <r>
      <rPr>
        <b/>
        <sz val="11"/>
        <rFont val="Calibri"/>
        <family val="2"/>
        <scheme val="minor"/>
      </rPr>
      <t xml:space="preserve"> e formalizadas, de forma padronizada, para serem seguidas.</t>
    </r>
  </si>
  <si>
    <r>
      <rPr>
        <b/>
        <sz val="11"/>
        <color rgb="FF0070C0"/>
        <rFont val="Calibri"/>
        <family val="2"/>
        <scheme val="minor"/>
      </rPr>
      <t xml:space="preserve">A instância </t>
    </r>
    <r>
      <rPr>
        <b/>
        <sz val="11"/>
        <rFont val="Calibri"/>
        <family val="2"/>
        <scheme val="minor"/>
      </rPr>
      <t xml:space="preserve">controladora deve monitorar as sugestões e denúncias relevantes de </t>
    </r>
    <r>
      <rPr>
        <b/>
        <i/>
        <sz val="11"/>
        <rFont val="Calibri"/>
        <family val="2"/>
        <scheme val="minor"/>
      </rPr>
      <t>partes interessadas</t>
    </r>
    <r>
      <rPr>
        <b/>
        <sz val="11"/>
        <rFont val="Calibri"/>
        <family val="2"/>
        <scheme val="minor"/>
      </rPr>
      <t xml:space="preserve"> e o seu tratamento. </t>
    </r>
  </si>
  <si>
    <r>
      <t xml:space="preserve">A prestação de contas aos responsáveis pela organização, às instâncias ou órgãos de controle e auditoria externos, à sociedade e outras </t>
    </r>
    <r>
      <rPr>
        <b/>
        <i/>
        <sz val="11"/>
        <color rgb="FF0070C0"/>
        <rFont val="Calibri"/>
        <family val="2"/>
        <scheme val="minor"/>
      </rPr>
      <t>partes interessadas</t>
    </r>
    <r>
      <rPr>
        <b/>
        <sz val="11"/>
        <color rgb="FF0070C0"/>
        <rFont val="Calibri"/>
        <family val="2"/>
        <scheme val="minor"/>
      </rPr>
      <t xml:space="preserve"> aplicáveis, deve incluir o status da conformidade com diretrizes de organizações de fomento67 e financiamento contratadas.</t>
    </r>
  </si>
  <si>
    <r>
      <t xml:space="preserve">A prestação de contas aos responsáveis pela organização, à sociedade e outras partes interessadas aplicáveis deve ter a autenticidade verificada </t>
    </r>
    <r>
      <rPr>
        <b/>
        <sz val="11"/>
        <color rgb="FF0070C0"/>
        <rFont val="Calibri"/>
        <family val="2"/>
        <scheme val="minor"/>
      </rPr>
      <t>de forma independente</t>
    </r>
    <r>
      <rPr>
        <b/>
        <sz val="11"/>
        <rFont val="Calibri"/>
        <family val="2"/>
        <scheme val="minor"/>
      </rPr>
      <t>.</t>
    </r>
  </si>
  <si>
    <r>
      <t xml:space="preserve">Os mecanismos para assegurar </t>
    </r>
    <r>
      <rPr>
        <b/>
        <i/>
        <sz val="11"/>
        <rFont val="Calibri"/>
        <family val="2"/>
        <scheme val="minor"/>
      </rPr>
      <t>continuidade do negócio</t>
    </r>
    <r>
      <rPr>
        <b/>
        <sz val="11"/>
        <rFont val="Calibri"/>
        <family val="2"/>
        <scheme val="minor"/>
      </rPr>
      <t xml:space="preserve"> devem incluir a promoção da resiliência do negócio, o tratamento dos riscos associados, a simulação de prontidão e da capacidade de restauração e a prestação de contas da atualização e viabilidade dos planos aos responsáveis pela organização e a outras partes interessadas nos temas aplicáveis.</t>
    </r>
  </si>
  <si>
    <r>
      <t xml:space="preserve">O veículo da prestação de contas das ações de </t>
    </r>
    <r>
      <rPr>
        <b/>
        <i/>
        <sz val="11"/>
        <rFont val="Calibri"/>
        <family val="2"/>
        <scheme val="minor"/>
      </rPr>
      <t>desenvolvimento sustentável</t>
    </r>
    <r>
      <rPr>
        <b/>
        <sz val="11"/>
        <rFont val="Calibri"/>
        <family val="2"/>
        <scheme val="minor"/>
      </rPr>
      <t xml:space="preserve"> deve usar padrão reconhecido.</t>
    </r>
  </si>
  <si>
    <r>
      <t xml:space="preserve">A prestação de contas aos responsáveis pela organização, à sociedade e outras </t>
    </r>
    <r>
      <rPr>
        <b/>
        <i/>
        <sz val="11"/>
        <color rgb="FF0070C0"/>
        <rFont val="Calibri"/>
        <family val="2"/>
        <scheme val="minor"/>
      </rPr>
      <t>partes interessadas</t>
    </r>
    <r>
      <rPr>
        <b/>
        <sz val="11"/>
        <color rgb="FF0070C0"/>
        <rFont val="Calibri"/>
        <family val="2"/>
        <scheme val="minor"/>
      </rPr>
      <t xml:space="preserve"> aplicáveis, deve incluir os resultados das ações voltadas à descarbonização, garantia de </t>
    </r>
    <r>
      <rPr>
        <b/>
        <i/>
        <sz val="11"/>
        <color rgb="FF0070C0"/>
        <rFont val="Calibri"/>
        <family val="2"/>
        <scheme val="minor"/>
      </rPr>
      <t>continuidade do negócio</t>
    </r>
    <r>
      <rPr>
        <b/>
        <sz val="11"/>
        <color rgb="FF0070C0"/>
        <rFont val="Calibri"/>
        <family val="2"/>
        <scheme val="minor"/>
      </rPr>
      <t xml:space="preserve"> e segurança digital.</t>
    </r>
  </si>
  <si>
    <r>
      <t>O nível de comprometimento</t>
    </r>
    <r>
      <rPr>
        <b/>
        <sz val="11"/>
        <color rgb="FF0070C0"/>
        <rFont val="Calibri"/>
        <family val="2"/>
        <scheme val="minor"/>
      </rPr>
      <t>68</t>
    </r>
    <r>
      <rPr>
        <b/>
        <sz val="11"/>
        <rFont val="Calibri"/>
        <family val="2"/>
        <scheme val="minor"/>
      </rPr>
      <t xml:space="preserve"> </t>
    </r>
    <r>
      <rPr>
        <b/>
        <i/>
        <sz val="11"/>
        <rFont val="Calibri"/>
        <family val="2"/>
        <scheme val="minor"/>
      </rPr>
      <t>ESG</t>
    </r>
    <r>
      <rPr>
        <b/>
        <sz val="11"/>
        <rFont val="Calibri"/>
        <family val="2"/>
        <scheme val="minor"/>
      </rPr>
      <t xml:space="preserve"> da organização deve ser avaliado por meio de indicador verificado de forma independente.</t>
    </r>
  </si>
  <si>
    <t>1.2b</t>
  </si>
  <si>
    <t xml:space="preserve">b) Controle de riscos e conformidade </t>
  </si>
  <si>
    <r>
      <t xml:space="preserve">Visa a </t>
    </r>
    <r>
      <rPr>
        <b/>
        <u/>
        <sz val="10"/>
        <rFont val="Calibri"/>
        <family val="2"/>
        <scheme val="minor"/>
      </rPr>
      <t>identificar</t>
    </r>
    <r>
      <rPr>
        <b/>
        <sz val="10"/>
        <rFont val="Calibri"/>
        <family val="2"/>
        <scheme val="minor"/>
      </rPr>
      <t xml:space="preserve">, </t>
    </r>
    <r>
      <rPr>
        <b/>
        <u/>
        <sz val="10"/>
        <rFont val="Calibri"/>
        <family val="2"/>
        <scheme val="minor"/>
      </rPr>
      <t>analisar</t>
    </r>
    <r>
      <rPr>
        <b/>
        <sz val="10"/>
        <rFont val="Calibri"/>
        <family val="2"/>
        <scheme val="minor"/>
      </rPr>
      <t xml:space="preserve">, </t>
    </r>
    <r>
      <rPr>
        <b/>
        <u/>
        <sz val="10"/>
        <rFont val="Calibri"/>
        <family val="2"/>
        <scheme val="minor"/>
      </rPr>
      <t>tratar</t>
    </r>
    <r>
      <rPr>
        <b/>
        <sz val="10"/>
        <rFont val="Calibri"/>
        <family val="2"/>
        <scheme val="minor"/>
      </rPr>
      <t xml:space="preserve"> e </t>
    </r>
    <r>
      <rPr>
        <b/>
        <u/>
        <sz val="10"/>
        <rFont val="Calibri"/>
        <family val="2"/>
        <scheme val="minor"/>
      </rPr>
      <t>monitorar</t>
    </r>
    <r>
      <rPr>
        <b/>
        <sz val="10"/>
        <rFont val="Calibri"/>
        <family val="2"/>
        <scheme val="minor"/>
      </rPr>
      <t xml:space="preserve"> os </t>
    </r>
    <r>
      <rPr>
        <b/>
        <i/>
        <sz val="10"/>
        <rFont val="Calibri"/>
        <family val="2"/>
        <scheme val="minor"/>
      </rPr>
      <t>riscos</t>
    </r>
    <r>
      <rPr>
        <b/>
        <sz val="10"/>
        <rFont val="Calibri"/>
        <family val="2"/>
        <scheme val="minor"/>
      </rPr>
      <t xml:space="preserve"> existentes</t>
    </r>
    <r>
      <rPr>
        <b/>
        <sz val="10"/>
        <color rgb="FF0070C0"/>
        <rFont val="Calibri"/>
        <family val="2"/>
        <scheme val="minor"/>
      </rPr>
      <t>69</t>
    </r>
    <r>
      <rPr>
        <b/>
        <sz val="10"/>
        <rFont val="Calibri"/>
        <family val="2"/>
        <scheme val="minor"/>
      </rPr>
      <t xml:space="preserve">, de acordo com prioridades determinadas pelo nível de exposição a consequências adversas e favoráveis das incertezas e pelo nível de resiliência almejado para o negócio, e </t>
    </r>
    <r>
      <rPr>
        <b/>
        <u/>
        <sz val="10"/>
        <rFont val="Calibri"/>
        <family val="2"/>
        <scheme val="minor"/>
      </rPr>
      <t>verificar</t>
    </r>
    <r>
      <rPr>
        <b/>
        <sz val="10"/>
        <rFont val="Calibri"/>
        <family val="2"/>
        <scheme val="minor"/>
      </rPr>
      <t xml:space="preserve"> e </t>
    </r>
    <r>
      <rPr>
        <b/>
        <u/>
        <sz val="10"/>
        <rFont val="Calibri"/>
        <family val="2"/>
        <scheme val="minor"/>
      </rPr>
      <t>tratar</t>
    </r>
    <r>
      <rPr>
        <b/>
        <sz val="10"/>
        <rFont val="Calibri"/>
        <family val="2"/>
        <scheme val="minor"/>
      </rPr>
      <t xml:space="preserve"> a conformidade regulatória e com diretrizes </t>
    </r>
    <r>
      <rPr>
        <b/>
        <sz val="10"/>
        <color rgb="FF0070C0"/>
        <rFont val="Calibri"/>
        <family val="2"/>
        <scheme val="minor"/>
      </rPr>
      <t>internas e de organizações de fomento e de financiamento contratadas</t>
    </r>
    <r>
      <rPr>
        <b/>
        <sz val="10"/>
        <rFont val="Calibri"/>
        <family val="2"/>
        <scheme val="minor"/>
      </rPr>
      <t xml:space="preserve">, levando em conta a independência e profundidade requeridas pelos </t>
    </r>
    <r>
      <rPr>
        <b/>
        <i/>
        <sz val="10"/>
        <rFont val="Calibri"/>
        <family val="2"/>
        <scheme val="minor"/>
      </rPr>
      <t>riscos</t>
    </r>
    <r>
      <rPr>
        <b/>
        <sz val="10"/>
        <rFont val="Calibri"/>
        <family val="2"/>
        <scheme val="minor"/>
      </rPr>
      <t xml:space="preserve"> associados a essas exigências.</t>
    </r>
  </si>
  <si>
    <r>
      <t xml:space="preserve">Informar os </t>
    </r>
    <r>
      <rPr>
        <b/>
        <i/>
        <sz val="11"/>
        <rFont val="Calibri"/>
        <family val="2"/>
        <scheme val="minor"/>
      </rPr>
      <t>riscos</t>
    </r>
    <r>
      <rPr>
        <b/>
        <sz val="11"/>
        <rFont val="Calibri"/>
        <family val="2"/>
        <scheme val="minor"/>
      </rPr>
      <t xml:space="preserve"> mais importantes que são acompanhados.</t>
    </r>
  </si>
  <si>
    <r>
      <t xml:space="preserve">A </t>
    </r>
    <r>
      <rPr>
        <b/>
        <i/>
        <sz val="11"/>
        <rFont val="Calibri"/>
        <family val="2"/>
        <scheme val="minor"/>
      </rPr>
      <t>direção</t>
    </r>
    <r>
      <rPr>
        <b/>
        <sz val="11"/>
        <rFont val="Calibri"/>
        <family val="2"/>
        <scheme val="minor"/>
      </rPr>
      <t xml:space="preserve"> deve avaliar potenciais mudanças de cenários, internos e externos, e os </t>
    </r>
    <r>
      <rPr>
        <b/>
        <i/>
        <sz val="11"/>
        <rFont val="Calibri"/>
        <family val="2"/>
        <scheme val="minor"/>
      </rPr>
      <t xml:space="preserve">riscos </t>
    </r>
    <r>
      <rPr>
        <b/>
        <sz val="11"/>
        <rFont val="Calibri"/>
        <family val="2"/>
        <scheme val="minor"/>
      </rPr>
      <t>associados, verificando a adequação do controle de riscos e dos planos de continuidade do negócio.</t>
    </r>
  </si>
  <si>
    <r>
      <rPr>
        <b/>
        <sz val="11"/>
        <color rgb="FF0070C0"/>
        <rFont val="Calibri"/>
        <family val="2"/>
        <scheme val="minor"/>
      </rPr>
      <t>O gerenciamento</t>
    </r>
    <r>
      <rPr>
        <b/>
        <sz val="11"/>
        <rFont val="Calibri"/>
        <family val="2"/>
        <scheme val="minor"/>
      </rPr>
      <t xml:space="preserve"> de </t>
    </r>
    <r>
      <rPr>
        <b/>
        <i/>
        <sz val="11"/>
        <rFont val="Calibri"/>
        <family val="2"/>
        <scheme val="minor"/>
      </rPr>
      <t>riscos</t>
    </r>
    <r>
      <rPr>
        <b/>
        <sz val="11"/>
        <rFont val="Calibri"/>
        <family val="2"/>
        <scheme val="minor"/>
      </rPr>
      <t xml:space="preserve"> deve incluir a definição de planos de mitigação e seu acompanhamento pela instância de controle.</t>
    </r>
  </si>
  <si>
    <r>
      <t>A garantia da conformidade regulatória</t>
    </r>
    <r>
      <rPr>
        <b/>
        <sz val="11"/>
        <color rgb="FF0070C0"/>
        <rFont val="Calibri"/>
        <family val="2"/>
        <scheme val="minor"/>
      </rPr>
      <t>70</t>
    </r>
    <r>
      <rPr>
        <b/>
        <sz val="11"/>
        <rFont val="Calibri"/>
        <family val="2"/>
        <scheme val="minor"/>
      </rPr>
      <t xml:space="preserve"> e com diretrizes </t>
    </r>
    <r>
      <rPr>
        <b/>
        <sz val="11"/>
        <color rgb="FF0070C0"/>
        <rFont val="Calibri"/>
        <family val="2"/>
        <scheme val="minor"/>
      </rPr>
      <t>internas</t>
    </r>
    <r>
      <rPr>
        <b/>
        <sz val="11"/>
        <rFont val="Calibri"/>
        <family val="2"/>
        <scheme val="minor"/>
      </rPr>
      <t xml:space="preserve"> deve incluir a definição de planos de adequação e a verificação pela instância de controle.</t>
    </r>
  </si>
  <si>
    <r>
      <rPr>
        <b/>
        <sz val="10"/>
        <color theme="1"/>
        <rFont val="Calibri"/>
        <family val="2"/>
        <scheme val="minor"/>
      </rPr>
      <t xml:space="preserve">A garantia da conformidade com </t>
    </r>
    <r>
      <rPr>
        <b/>
        <sz val="10"/>
        <color rgb="FF073763"/>
        <rFont val="Calibri"/>
        <family val="2"/>
        <scheme val="minor"/>
      </rPr>
      <t xml:space="preserve">as </t>
    </r>
    <r>
      <rPr>
        <b/>
        <sz val="10"/>
        <color theme="1"/>
        <rFont val="Calibri"/>
        <family val="2"/>
        <scheme val="minor"/>
      </rPr>
      <t xml:space="preserve">diretrizes </t>
    </r>
    <r>
      <rPr>
        <b/>
        <sz val="10"/>
        <color rgb="FF1C4587"/>
        <rFont val="Calibri"/>
        <family val="2"/>
        <scheme val="minor"/>
      </rPr>
      <t xml:space="preserve">de organizações de fomento e de financiamento contratadas, </t>
    </r>
    <r>
      <rPr>
        <b/>
        <sz val="10"/>
        <color theme="1"/>
        <rFont val="Calibri"/>
        <family val="2"/>
        <scheme val="minor"/>
      </rPr>
      <t>deve incluir a definição de planos de adequação e a verificação pela instância de controle.</t>
    </r>
  </si>
  <si>
    <r>
      <t xml:space="preserve">O gerenciamento de </t>
    </r>
    <r>
      <rPr>
        <b/>
        <i/>
        <sz val="11"/>
        <rFont val="Calibri"/>
        <family val="2"/>
        <scheme val="minor"/>
      </rPr>
      <t>riscos</t>
    </r>
    <r>
      <rPr>
        <b/>
        <sz val="11"/>
        <rFont val="Calibri"/>
        <family val="2"/>
        <scheme val="minor"/>
      </rPr>
      <t xml:space="preserve"> deve incluir a sua classificação e definição do nível de exposição e a aplicação do método de verificação deve ser analisada pela instância de controle.</t>
    </r>
  </si>
  <si>
    <t>A aplicação do método de verificação de conformidade regulatória e com diretrizes deve ser analisada pela instância de controle.</t>
  </si>
  <si>
    <r>
      <t xml:space="preserve">Os planos de mitigação de </t>
    </r>
    <r>
      <rPr>
        <b/>
        <i/>
        <sz val="11"/>
        <rFont val="Calibri"/>
        <family val="2"/>
        <scheme val="minor"/>
      </rPr>
      <t>riscos</t>
    </r>
    <r>
      <rPr>
        <b/>
        <sz val="11"/>
        <rFont val="Calibri"/>
        <family val="2"/>
        <scheme val="minor"/>
      </rPr>
      <t xml:space="preserve"> e de adequação regulatória e com diretrizes devem ser homologados pela instância de controle.</t>
    </r>
  </si>
  <si>
    <r>
      <rPr>
        <b/>
        <sz val="11"/>
        <color rgb="FF0070C0"/>
        <rFont val="Calibri"/>
        <family val="2"/>
        <scheme val="minor"/>
      </rPr>
      <t xml:space="preserve">Os </t>
    </r>
    <r>
      <rPr>
        <b/>
        <i/>
        <sz val="11"/>
        <color rgb="FF0070C0"/>
        <rFont val="Calibri"/>
        <family val="2"/>
        <scheme val="minor"/>
      </rPr>
      <t>riscos</t>
    </r>
    <r>
      <rPr>
        <b/>
        <sz val="11"/>
        <color rgb="FF0070C0"/>
        <rFont val="Calibri"/>
        <family val="2"/>
        <scheme val="minor"/>
      </rPr>
      <t xml:space="preserve"> e oportunidades </t>
    </r>
    <r>
      <rPr>
        <b/>
        <sz val="11"/>
        <rFont val="Calibri"/>
        <family val="2"/>
        <scheme val="minor"/>
      </rPr>
      <t>que possam afetar a conformidade de produtos e a capacidade de aumentar a satisfação dos clientes devem ser determinados e tratados.</t>
    </r>
  </si>
  <si>
    <r>
      <t xml:space="preserve">Os </t>
    </r>
    <r>
      <rPr>
        <b/>
        <i/>
        <sz val="11"/>
        <rFont val="Calibri"/>
        <family val="2"/>
        <scheme val="minor"/>
      </rPr>
      <t>riscos</t>
    </r>
    <r>
      <rPr>
        <b/>
        <sz val="11"/>
        <rFont val="Calibri"/>
        <family val="2"/>
        <scheme val="minor"/>
      </rPr>
      <t xml:space="preserve"> que possam afetar a </t>
    </r>
    <r>
      <rPr>
        <b/>
        <sz val="11"/>
        <color rgb="FF0070C0"/>
        <rFont val="Calibri"/>
        <family val="2"/>
        <scheme val="minor"/>
      </rPr>
      <t>segurança digital71</t>
    </r>
    <r>
      <rPr>
        <b/>
        <sz val="11"/>
        <rFont val="Calibri"/>
        <family val="2"/>
        <scheme val="minor"/>
      </rPr>
      <t xml:space="preserve">, incluindo os decorrentes </t>
    </r>
    <r>
      <rPr>
        <b/>
        <sz val="11"/>
        <color rgb="FF0070C0"/>
        <rFont val="Calibri"/>
        <family val="2"/>
        <scheme val="minor"/>
      </rPr>
      <t>da exposição a ciberataques</t>
    </r>
    <r>
      <rPr>
        <b/>
        <sz val="11"/>
        <rFont val="Calibri"/>
        <family val="2"/>
        <scheme val="minor"/>
      </rPr>
      <t xml:space="preserve"> e uso da I.A., externa ou internamente, devem ser determinados e tratados.</t>
    </r>
  </si>
  <si>
    <r>
      <t xml:space="preserve">Os </t>
    </r>
    <r>
      <rPr>
        <b/>
        <i/>
        <sz val="11"/>
        <rFont val="Calibri"/>
        <family val="2"/>
      </rPr>
      <t>riscos</t>
    </r>
    <r>
      <rPr>
        <b/>
        <sz val="11"/>
        <rFont val="Calibri"/>
        <family val="2"/>
      </rPr>
      <t xml:space="preserve"> que possam afetar a disponibilidade de recursos hídricos devem ser determinados e tratados, quando aplicáveis ao perfil da organização.</t>
    </r>
  </si>
  <si>
    <r>
      <t xml:space="preserve">Os </t>
    </r>
    <r>
      <rPr>
        <b/>
        <i/>
        <sz val="11"/>
        <rFont val="Calibri"/>
        <family val="2"/>
      </rPr>
      <t>riscos</t>
    </r>
    <r>
      <rPr>
        <b/>
        <sz val="11"/>
        <rFont val="Calibri"/>
        <family val="2"/>
      </rPr>
      <t xml:space="preserve"> que possam afetar o desempenho das parcerias devem ser determinados e tratados, quando aplicáveis ao perfil da organização.</t>
    </r>
  </si>
  <si>
    <r>
      <t xml:space="preserve">Os </t>
    </r>
    <r>
      <rPr>
        <b/>
        <i/>
        <sz val="11"/>
        <rFont val="Calibri"/>
        <family val="2"/>
        <scheme val="minor"/>
      </rPr>
      <t xml:space="preserve">riscos </t>
    </r>
    <r>
      <rPr>
        <b/>
        <sz val="11"/>
        <rFont val="Calibri"/>
        <family val="2"/>
        <scheme val="minor"/>
      </rPr>
      <t xml:space="preserve">e oportunidades que possam afetar o desempenho dos </t>
    </r>
    <r>
      <rPr>
        <b/>
        <i/>
        <sz val="11"/>
        <rFont val="Calibri"/>
        <family val="2"/>
        <scheme val="minor"/>
      </rPr>
      <t>ativos de infraestrutura operacional</t>
    </r>
    <r>
      <rPr>
        <b/>
        <sz val="11"/>
        <rFont val="Calibri"/>
        <family val="2"/>
        <scheme val="minor"/>
      </rPr>
      <t xml:space="preserve"> devem ser determinados e tratados, quando aplicáveis ao perfil da organização.</t>
    </r>
  </si>
  <si>
    <r>
      <t xml:space="preserve">Os </t>
    </r>
    <r>
      <rPr>
        <b/>
        <i/>
        <sz val="11"/>
        <rFont val="Calibri"/>
        <family val="2"/>
        <scheme val="minor"/>
      </rPr>
      <t>riscos</t>
    </r>
    <r>
      <rPr>
        <b/>
        <sz val="11"/>
        <rFont val="Calibri"/>
        <family val="2"/>
        <scheme val="minor"/>
      </rPr>
      <t xml:space="preserve"> e oportunidades que possam afetar a </t>
    </r>
    <r>
      <rPr>
        <b/>
        <i/>
        <sz val="11"/>
        <rFont val="Calibri"/>
        <family val="2"/>
        <scheme val="minor"/>
      </rPr>
      <t>continuidade do negócio</t>
    </r>
    <r>
      <rPr>
        <b/>
        <sz val="11"/>
        <rFont val="Calibri"/>
        <family val="2"/>
        <scheme val="minor"/>
      </rPr>
      <t xml:space="preserve"> devem ser determinados e tratados e a sua situação deve ser reportada aos responsáveis pela organização.</t>
    </r>
  </si>
  <si>
    <r>
      <t xml:space="preserve">O levantamento dos </t>
    </r>
    <r>
      <rPr>
        <b/>
        <i/>
        <sz val="11"/>
        <rFont val="Calibri"/>
        <family val="2"/>
        <scheme val="minor"/>
      </rPr>
      <t>riscos</t>
    </r>
    <r>
      <rPr>
        <b/>
        <sz val="11"/>
        <rFont val="Calibri"/>
        <family val="2"/>
        <scheme val="minor"/>
      </rPr>
      <t xml:space="preserve"> existentes deve incluir a percepção do nível operacional competente. </t>
    </r>
  </si>
  <si>
    <r>
      <t xml:space="preserve">Os </t>
    </r>
    <r>
      <rPr>
        <b/>
        <i/>
        <sz val="11"/>
        <rFont val="Calibri"/>
        <family val="2"/>
        <scheme val="minor"/>
      </rPr>
      <t xml:space="preserve">riscos </t>
    </r>
    <r>
      <rPr>
        <b/>
        <sz val="11"/>
        <rFont val="Calibri"/>
        <family val="2"/>
        <scheme val="minor"/>
      </rPr>
      <t xml:space="preserve">devem ser analisados de forma integrada para avaliar sinergias e otimizar mitigação. </t>
    </r>
  </si>
  <si>
    <t xml:space="preserve">A promoção da conformidade com diretrizes deve incluir a participação do nível operacional para prevenir desvios. </t>
  </si>
  <si>
    <t>Os planos de ação corretiva relativos a não conformidades regulatórias e com diretrizes devem incluir a melhoria dos mecanismos de controles internos.</t>
  </si>
  <si>
    <r>
      <t xml:space="preserve">O nível de exposição a </t>
    </r>
    <r>
      <rPr>
        <b/>
        <i/>
        <sz val="11"/>
        <rFont val="Calibri"/>
        <family val="2"/>
        <scheme val="minor"/>
      </rPr>
      <t>riscos</t>
    </r>
    <r>
      <rPr>
        <b/>
        <sz val="11"/>
        <rFont val="Calibri"/>
        <family val="2"/>
        <scheme val="minor"/>
      </rPr>
      <t xml:space="preserve"> e o nível de gravidade das não conformidades regulatórias e com diretrizes devem ser avaliados por meio de </t>
    </r>
    <r>
      <rPr>
        <b/>
        <i/>
        <sz val="11"/>
        <rFont val="Calibri"/>
        <family val="2"/>
        <scheme val="minor"/>
      </rPr>
      <t>indicadores</t>
    </r>
    <r>
      <rPr>
        <b/>
        <sz val="11"/>
        <rFont val="Calibri"/>
        <family val="2"/>
        <scheme val="minor"/>
      </rPr>
      <t>.</t>
    </r>
  </si>
  <si>
    <t>1.3</t>
  </si>
  <si>
    <t>1.3 Exercício da liderança</t>
  </si>
  <si>
    <t>1.3a</t>
  </si>
  <si>
    <r>
      <t xml:space="preserve">a) </t>
    </r>
    <r>
      <rPr>
        <b/>
        <sz val="10"/>
        <color rgb="FF0070C0"/>
        <rFont val="Calibri"/>
        <family val="2"/>
        <scheme val="minor"/>
      </rPr>
      <t>Interação</t>
    </r>
    <r>
      <rPr>
        <b/>
        <sz val="10"/>
        <rFont val="Calibri"/>
        <family val="2"/>
        <scheme val="minor"/>
      </rPr>
      <t xml:space="preserve"> com partes interessadas </t>
    </r>
  </si>
  <si>
    <r>
      <t xml:space="preserve">Tem como objetivos </t>
    </r>
    <r>
      <rPr>
        <b/>
        <u/>
        <sz val="10"/>
        <rFont val="Calibri"/>
        <family val="2"/>
        <scheme val="minor"/>
      </rPr>
      <t>manter</t>
    </r>
    <r>
      <rPr>
        <b/>
        <sz val="10"/>
        <rFont val="Calibri"/>
        <family val="2"/>
        <scheme val="minor"/>
      </rPr>
      <t xml:space="preserve"> as </t>
    </r>
    <r>
      <rPr>
        <b/>
        <i/>
        <sz val="10"/>
        <rFont val="Calibri"/>
        <family val="2"/>
        <scheme val="minor"/>
      </rPr>
      <t xml:space="preserve">partes interessadas </t>
    </r>
    <r>
      <rPr>
        <b/>
        <sz val="10"/>
        <rFont val="Calibri"/>
        <family val="2"/>
        <scheme val="minor"/>
      </rPr>
      <t xml:space="preserve">cientes de fatos relevantes que fortaleçam o relacionamento e </t>
    </r>
    <r>
      <rPr>
        <b/>
        <u/>
        <sz val="10"/>
        <rFont val="Calibri"/>
        <family val="2"/>
        <scheme val="minor"/>
      </rPr>
      <t>assegurar</t>
    </r>
    <r>
      <rPr>
        <b/>
        <sz val="10"/>
        <rFont val="Calibri"/>
        <family val="2"/>
        <scheme val="minor"/>
      </rPr>
      <t xml:space="preserve"> a existência de canais de acesso efetivos à organização e de interação ativa da </t>
    </r>
    <r>
      <rPr>
        <b/>
        <i/>
        <sz val="10"/>
        <rFont val="Calibri"/>
        <family val="2"/>
        <scheme val="minor"/>
      </rPr>
      <t>direção</t>
    </r>
    <r>
      <rPr>
        <b/>
        <sz val="10"/>
        <rFont val="Calibri"/>
        <family val="2"/>
        <scheme val="minor"/>
      </rPr>
      <t xml:space="preserve"> com as </t>
    </r>
    <r>
      <rPr>
        <b/>
        <i/>
        <sz val="10"/>
        <rFont val="Calibri"/>
        <family val="2"/>
        <scheme val="minor"/>
      </rPr>
      <t xml:space="preserve">partes interessadas </t>
    </r>
    <r>
      <rPr>
        <b/>
        <sz val="10"/>
        <rFont val="Calibri"/>
        <family val="2"/>
        <scheme val="minor"/>
      </rPr>
      <t xml:space="preserve">de maior influência recíproca. </t>
    </r>
  </si>
  <si>
    <r>
      <t xml:space="preserve">Exemplificar dois fatos relevantes recentemente comunicados pela </t>
    </r>
    <r>
      <rPr>
        <b/>
        <i/>
        <sz val="11"/>
        <rFont val="Calibri"/>
        <family val="2"/>
        <scheme val="minor"/>
      </rPr>
      <t>direção</t>
    </r>
    <r>
      <rPr>
        <b/>
        <sz val="11"/>
        <rFont val="Calibri"/>
        <family val="2"/>
        <scheme val="minor"/>
      </rPr>
      <t xml:space="preserve"> e </t>
    </r>
    <r>
      <rPr>
        <b/>
        <sz val="11"/>
        <color rgb="FF0070C0"/>
        <rFont val="Calibri"/>
        <family val="2"/>
        <scheme val="minor"/>
      </rPr>
      <t xml:space="preserve">as </t>
    </r>
    <r>
      <rPr>
        <b/>
        <i/>
        <sz val="11"/>
        <color rgb="FF0070C0"/>
        <rFont val="Calibri"/>
        <family val="2"/>
        <scheme val="minor"/>
      </rPr>
      <t>partes interessadas</t>
    </r>
    <r>
      <rPr>
        <b/>
        <sz val="11"/>
        <color rgb="FF0070C0"/>
        <rFont val="Calibri"/>
        <family val="2"/>
        <scheme val="minor"/>
      </rPr>
      <t xml:space="preserve"> envolvidas</t>
    </r>
    <r>
      <rPr>
        <b/>
        <sz val="11"/>
        <rFont val="Calibri"/>
        <family val="2"/>
        <scheme val="minor"/>
      </rPr>
      <t>.</t>
    </r>
  </si>
  <si>
    <t>Canais de manifestação de fácil acesso e responsivos, devem ser disponibilizados para os diferentes públicos.</t>
  </si>
  <si>
    <r>
      <t xml:space="preserve">O acesso da </t>
    </r>
    <r>
      <rPr>
        <b/>
        <i/>
        <sz val="11"/>
        <rFont val="Calibri"/>
        <family val="2"/>
        <scheme val="minor"/>
      </rPr>
      <t xml:space="preserve">força de trabalho </t>
    </r>
    <r>
      <rPr>
        <b/>
        <sz val="11"/>
        <rFont val="Calibri"/>
        <family val="2"/>
        <scheme val="minor"/>
      </rPr>
      <t xml:space="preserve">à </t>
    </r>
    <r>
      <rPr>
        <b/>
        <i/>
        <sz val="11"/>
        <rFont val="Calibri"/>
        <family val="2"/>
        <scheme val="minor"/>
      </rPr>
      <t>direção</t>
    </r>
    <r>
      <rPr>
        <b/>
        <sz val="11"/>
        <rFont val="Calibri"/>
        <family val="2"/>
        <scheme val="minor"/>
      </rPr>
      <t xml:space="preserve"> deve ser assegurado e os encontros da </t>
    </r>
    <r>
      <rPr>
        <b/>
        <i/>
        <sz val="11"/>
        <rFont val="Calibri"/>
        <family val="2"/>
        <scheme val="minor"/>
      </rPr>
      <t>direção</t>
    </r>
    <r>
      <rPr>
        <b/>
        <sz val="11"/>
        <rFont val="Calibri"/>
        <family val="2"/>
        <scheme val="minor"/>
      </rPr>
      <t xml:space="preserve"> com níveis operacionais da </t>
    </r>
    <r>
      <rPr>
        <b/>
        <i/>
        <sz val="11"/>
        <rFont val="Calibri"/>
        <family val="2"/>
        <scheme val="minor"/>
      </rPr>
      <t>força de trabalho</t>
    </r>
    <r>
      <rPr>
        <b/>
        <sz val="11"/>
        <rFont val="Calibri"/>
        <family val="2"/>
        <scheme val="minor"/>
      </rPr>
      <t xml:space="preserve"> devem ser disciplinados e regulares.</t>
    </r>
  </si>
  <si>
    <r>
      <rPr>
        <b/>
        <sz val="11"/>
        <color rgb="FF0070C0"/>
        <rFont val="Calibri"/>
        <family val="2"/>
        <scheme val="minor"/>
      </rPr>
      <t>Os</t>
    </r>
    <r>
      <rPr>
        <b/>
        <sz val="11"/>
        <rFont val="Calibri"/>
        <family val="2"/>
        <scheme val="minor"/>
      </rPr>
      <t xml:space="preserve"> canais de interação da </t>
    </r>
    <r>
      <rPr>
        <b/>
        <i/>
        <sz val="11"/>
        <rFont val="Calibri"/>
        <family val="2"/>
        <scheme val="minor"/>
      </rPr>
      <t>direção</t>
    </r>
    <r>
      <rPr>
        <b/>
        <sz val="11"/>
        <rFont val="Calibri"/>
        <family val="2"/>
        <scheme val="minor"/>
      </rPr>
      <t xml:space="preserve"> com </t>
    </r>
    <r>
      <rPr>
        <b/>
        <i/>
        <sz val="11"/>
        <rFont val="Calibri"/>
        <family val="2"/>
        <scheme val="minor"/>
      </rPr>
      <t>partes interessadas</t>
    </r>
    <r>
      <rPr>
        <b/>
        <sz val="11"/>
        <rFont val="Calibri"/>
        <family val="2"/>
        <scheme val="minor"/>
      </rPr>
      <t xml:space="preserve"> devem incluir as </t>
    </r>
    <r>
      <rPr>
        <b/>
        <i/>
        <sz val="11"/>
        <rFont val="Calibri"/>
        <family val="2"/>
        <scheme val="minor"/>
      </rPr>
      <t>mídias sociais</t>
    </r>
    <r>
      <rPr>
        <b/>
        <sz val="11"/>
        <rFont val="Calibri"/>
        <family val="2"/>
        <scheme val="minor"/>
      </rPr>
      <t>.</t>
    </r>
  </si>
  <si>
    <t>A comunicação institucional deve incluir a divulgação ativa de informações relevantes para os diferentes públicos, internos e externos, utilizando métodos compatíveis para alcançar os objetivos das mensagens.</t>
  </si>
  <si>
    <r>
      <t xml:space="preserve">As manifestações adversas recebidas nos canais, definidas com nível de gravidade elevado, devem ser conhecidas e acompanhadas pela </t>
    </r>
    <r>
      <rPr>
        <b/>
        <i/>
        <sz val="11"/>
        <rFont val="Calibri"/>
        <family val="2"/>
        <scheme val="minor"/>
      </rPr>
      <t>direção</t>
    </r>
    <r>
      <rPr>
        <b/>
        <sz val="11"/>
        <rFont val="Calibri"/>
        <family val="2"/>
        <scheme val="minor"/>
      </rPr>
      <t xml:space="preserve">. </t>
    </r>
  </si>
  <si>
    <t>A comunicação institucional deve permitir e monitorar a retroalimentação do público alcançado pelas mensagens.</t>
  </si>
  <si>
    <r>
      <t xml:space="preserve">A interação da direção com interlocutores das </t>
    </r>
    <r>
      <rPr>
        <b/>
        <i/>
        <sz val="11"/>
        <rFont val="Calibri"/>
        <family val="2"/>
        <scheme val="minor"/>
      </rPr>
      <t>partes interessadas</t>
    </r>
    <r>
      <rPr>
        <b/>
        <sz val="11"/>
        <rFont val="Calibri"/>
        <family val="2"/>
        <scheme val="minor"/>
      </rPr>
      <t xml:space="preserve"> deve incluir agenda planejada de relacionamento para identificar oportunidades e prioridades, negociar interesses e demonstrar comprometimento. </t>
    </r>
  </si>
  <si>
    <t xml:space="preserve">As manifestações recebidas nos canais devem ser analisadas e tratadas de acordo com critérios pré-estabelecidos que busquem assegurar pronta resposta aos autores, quando pertinente. </t>
  </si>
  <si>
    <r>
      <t>Em situações de crise</t>
    </r>
    <r>
      <rPr>
        <b/>
        <sz val="11"/>
        <color rgb="FF0070C0"/>
        <rFont val="Calibri"/>
        <family val="2"/>
        <scheme val="minor"/>
      </rPr>
      <t>72</t>
    </r>
    <r>
      <rPr>
        <b/>
        <sz val="11"/>
        <rFont val="Calibri"/>
        <family val="2"/>
        <scheme val="minor"/>
      </rPr>
      <t>, a comunicação com o público-alvo deve ser orientada por especialista.</t>
    </r>
  </si>
  <si>
    <r>
      <t xml:space="preserve">Membros da </t>
    </r>
    <r>
      <rPr>
        <b/>
        <i/>
        <sz val="11"/>
        <rFont val="Calibri"/>
        <family val="2"/>
        <scheme val="minor"/>
      </rPr>
      <t>direção</t>
    </r>
    <r>
      <rPr>
        <b/>
        <sz val="11"/>
        <rFont val="Calibri"/>
        <family val="2"/>
        <scheme val="minor"/>
      </rPr>
      <t xml:space="preserve"> devem ser preparados para se manifestar em nome da organização na imprensa ou </t>
    </r>
    <r>
      <rPr>
        <b/>
        <i/>
        <sz val="11"/>
        <rFont val="Calibri"/>
        <family val="2"/>
        <scheme val="minor"/>
      </rPr>
      <t>mídias sociais</t>
    </r>
    <r>
      <rPr>
        <b/>
        <sz val="11"/>
        <rFont val="Calibri"/>
        <family val="2"/>
        <scheme val="minor"/>
      </rPr>
      <t>.</t>
    </r>
  </si>
  <si>
    <t>As manifestações adversas devem ser analisadas de forma integrada, considerando as lições aprendidas, para atuar nas causas raízes do sistema de gestão e prevenir recorrência.</t>
  </si>
  <si>
    <r>
      <t xml:space="preserve">A interação da </t>
    </r>
    <r>
      <rPr>
        <b/>
        <i/>
        <sz val="11"/>
        <rFont val="Calibri"/>
        <family val="2"/>
        <scheme val="minor"/>
      </rPr>
      <t>direção</t>
    </r>
    <r>
      <rPr>
        <b/>
        <sz val="11"/>
        <rFont val="Calibri"/>
        <family val="2"/>
        <scheme val="minor"/>
      </rPr>
      <t xml:space="preserve"> com interlocutores das principais </t>
    </r>
    <r>
      <rPr>
        <b/>
        <i/>
        <sz val="11"/>
        <rFont val="Calibri"/>
        <family val="2"/>
        <scheme val="minor"/>
      </rPr>
      <t>partes interessadas</t>
    </r>
    <r>
      <rPr>
        <b/>
        <sz val="11"/>
        <rFont val="Calibri"/>
        <family val="2"/>
        <scheme val="minor"/>
      </rPr>
      <t xml:space="preserve"> deve incluir a atração de parceiros para iniciativas de </t>
    </r>
    <r>
      <rPr>
        <b/>
        <i/>
        <sz val="11"/>
        <rFont val="Calibri"/>
        <family val="2"/>
        <scheme val="minor"/>
      </rPr>
      <t>desenvolvimento sustentável</t>
    </r>
    <r>
      <rPr>
        <b/>
        <sz val="11"/>
        <rFont val="Calibri"/>
        <family val="2"/>
        <scheme val="minor"/>
      </rPr>
      <t xml:space="preserve"> ou engajamento na causa. </t>
    </r>
  </si>
  <si>
    <r>
      <t xml:space="preserve">A comunicação institucional e a interação da </t>
    </r>
    <r>
      <rPr>
        <b/>
        <i/>
        <sz val="11"/>
        <rFont val="Calibri"/>
        <family val="2"/>
        <scheme val="minor"/>
      </rPr>
      <t>direção</t>
    </r>
    <r>
      <rPr>
        <b/>
        <sz val="11"/>
        <rFont val="Calibri"/>
        <family val="2"/>
        <scheme val="minor"/>
      </rPr>
      <t xml:space="preserve"> com as </t>
    </r>
    <r>
      <rPr>
        <b/>
        <i/>
        <sz val="11"/>
        <rFont val="Calibri"/>
        <family val="2"/>
        <scheme val="minor"/>
      </rPr>
      <t>partes interessdas</t>
    </r>
    <r>
      <rPr>
        <b/>
        <sz val="11"/>
        <rFont val="Calibri"/>
        <family val="2"/>
        <scheme val="minor"/>
      </rPr>
      <t xml:space="preserve"> mais importantes devem ser avaliadas por meio de</t>
    </r>
    <r>
      <rPr>
        <b/>
        <i/>
        <sz val="11"/>
        <rFont val="Calibri"/>
        <family val="2"/>
        <scheme val="minor"/>
      </rPr>
      <t xml:space="preserve"> indicadores</t>
    </r>
    <r>
      <rPr>
        <b/>
        <sz val="11"/>
        <rFont val="Calibri"/>
        <family val="2"/>
        <scheme val="minor"/>
      </rPr>
      <t>.</t>
    </r>
  </si>
  <si>
    <t>1.3b</t>
  </si>
  <si>
    <t xml:space="preserve">b) Tomada de decisão </t>
  </si>
  <si>
    <r>
      <t xml:space="preserve">Tem as finalidades de </t>
    </r>
    <r>
      <rPr>
        <b/>
        <u/>
        <sz val="10"/>
        <rFont val="Calibri"/>
        <family val="2"/>
        <scheme val="minor"/>
      </rPr>
      <t>deliberar</t>
    </r>
    <r>
      <rPr>
        <b/>
        <sz val="10"/>
        <rFont val="Calibri"/>
        <family val="2"/>
        <scheme val="minor"/>
      </rPr>
      <t xml:space="preserve">, </t>
    </r>
    <r>
      <rPr>
        <b/>
        <sz val="10"/>
        <color rgb="FF0070C0"/>
        <rFont val="Calibri"/>
        <family val="2"/>
        <scheme val="minor"/>
      </rPr>
      <t>na alçada do</t>
    </r>
    <r>
      <rPr>
        <b/>
        <sz val="10"/>
        <rFont val="Calibri"/>
        <family val="2"/>
        <scheme val="minor"/>
      </rPr>
      <t xml:space="preserve"> líder ou de forma colegiada</t>
    </r>
    <r>
      <rPr>
        <b/>
        <sz val="10"/>
        <color rgb="FF0070C0"/>
        <rFont val="Calibri"/>
        <family val="2"/>
        <scheme val="minor"/>
      </rPr>
      <t>73</t>
    </r>
    <r>
      <rPr>
        <b/>
        <sz val="10"/>
        <rFont val="Calibri"/>
        <family val="2"/>
        <scheme val="minor"/>
      </rPr>
      <t xml:space="preserve">, acerca dos melhores rumos a seguir, utilizando informações e experiências, </t>
    </r>
    <r>
      <rPr>
        <b/>
        <sz val="10"/>
        <color rgb="FF0070C0"/>
        <rFont val="Calibri"/>
        <family val="2"/>
        <scheme val="minor"/>
      </rPr>
      <t>de</t>
    </r>
    <r>
      <rPr>
        <b/>
        <sz val="10"/>
        <rFont val="Calibri"/>
        <family val="2"/>
        <scheme val="minor"/>
      </rPr>
      <t xml:space="preserve"> </t>
    </r>
    <r>
      <rPr>
        <b/>
        <u/>
        <sz val="10"/>
        <rFont val="Calibri"/>
        <family val="2"/>
        <scheme val="minor"/>
      </rPr>
      <t>assegurar</t>
    </r>
    <r>
      <rPr>
        <b/>
        <sz val="10"/>
        <rFont val="Calibri"/>
        <family val="2"/>
        <scheme val="minor"/>
      </rPr>
      <t xml:space="preserve"> a comunicação </t>
    </r>
    <r>
      <rPr>
        <b/>
        <sz val="10"/>
        <color rgb="FF0070C0"/>
        <rFont val="Calibri"/>
        <family val="2"/>
        <scheme val="minor"/>
      </rPr>
      <t>das decisões</t>
    </r>
    <r>
      <rPr>
        <b/>
        <sz val="10"/>
        <rFont val="Calibri"/>
        <family val="2"/>
        <scheme val="minor"/>
      </rPr>
      <t xml:space="preserve"> aos atores impactados </t>
    </r>
    <r>
      <rPr>
        <b/>
        <sz val="10"/>
        <color rgb="FF0070C0"/>
        <rFont val="Calibri"/>
        <family val="2"/>
        <scheme val="minor"/>
      </rPr>
      <t>por elas</t>
    </r>
    <r>
      <rPr>
        <b/>
        <sz val="10"/>
        <rFont val="Calibri"/>
        <family val="2"/>
        <scheme val="minor"/>
      </rPr>
      <t xml:space="preserve"> nos diferentes níveis, processos </t>
    </r>
    <r>
      <rPr>
        <b/>
        <sz val="10"/>
        <color rgb="FF0070C0"/>
        <rFont val="Calibri"/>
        <family val="2"/>
        <scheme val="minor"/>
      </rPr>
      <t>e</t>
    </r>
    <r>
      <rPr>
        <b/>
        <i/>
        <sz val="10"/>
        <color rgb="FF0070C0"/>
        <rFont val="Calibri"/>
        <family val="2"/>
        <scheme val="minor"/>
      </rPr>
      <t xml:space="preserve"> partes interessadas</t>
    </r>
    <r>
      <rPr>
        <b/>
        <sz val="10"/>
        <rFont val="Calibri"/>
        <family val="2"/>
        <scheme val="minor"/>
      </rPr>
      <t xml:space="preserve">, e de </t>
    </r>
    <r>
      <rPr>
        <b/>
        <u/>
        <sz val="10"/>
        <rFont val="Calibri"/>
        <family val="2"/>
        <scheme val="minor"/>
      </rPr>
      <t>garantir</t>
    </r>
    <r>
      <rPr>
        <b/>
        <sz val="10"/>
        <rFont val="Calibri"/>
        <family val="2"/>
        <scheme val="minor"/>
      </rPr>
      <t xml:space="preserve"> que essas ações sejam implementadas correta e tempestivamente.  </t>
    </r>
  </si>
  <si>
    <r>
      <t>Os métodos decisórios</t>
    </r>
    <r>
      <rPr>
        <b/>
        <sz val="11"/>
        <color rgb="FF0070C0"/>
        <rFont val="Calibri"/>
        <family val="2"/>
        <scheme val="minor"/>
      </rPr>
      <t>74</t>
    </r>
    <r>
      <rPr>
        <b/>
        <sz val="11"/>
        <rFont val="Calibri"/>
        <family val="2"/>
        <scheme val="minor"/>
      </rPr>
      <t xml:space="preserve"> utilizados, incluindo individual, colegiado e de resolução de divergências, devem ser informados para os recém-integrados à </t>
    </r>
    <r>
      <rPr>
        <b/>
        <i/>
        <sz val="11"/>
        <rFont val="Calibri"/>
        <family val="2"/>
        <scheme val="minor"/>
      </rPr>
      <t>força de trabalho</t>
    </r>
    <r>
      <rPr>
        <b/>
        <sz val="11"/>
        <rFont val="Calibri"/>
        <family val="2"/>
        <scheme val="minor"/>
      </rPr>
      <t>.</t>
    </r>
  </si>
  <si>
    <r>
      <t xml:space="preserve">As </t>
    </r>
    <r>
      <rPr>
        <b/>
        <sz val="11"/>
        <color rgb="FF0070C0"/>
        <rFont val="Calibri"/>
        <family val="2"/>
        <scheme val="minor"/>
      </rPr>
      <t>decisões</t>
    </r>
    <r>
      <rPr>
        <b/>
        <sz val="11"/>
        <rFont val="Calibri"/>
        <family val="2"/>
        <scheme val="minor"/>
      </rPr>
      <t xml:space="preserve"> e compromissos associados </t>
    </r>
    <r>
      <rPr>
        <b/>
        <sz val="11"/>
        <color rgb="FF0070C0"/>
        <rFont val="Calibri"/>
        <family val="2"/>
        <scheme val="minor"/>
      </rPr>
      <t>devem ser</t>
    </r>
    <r>
      <rPr>
        <b/>
        <sz val="11"/>
        <rFont val="Calibri"/>
        <family val="2"/>
        <scheme val="minor"/>
      </rPr>
      <t xml:space="preserve"> registrados e compartilhados com as partes comprometidas e afetadas por elas.</t>
    </r>
  </si>
  <si>
    <t>O sistema de tomada de decisão colegiada deve ser disciplinado.</t>
  </si>
  <si>
    <t xml:space="preserve">Os compromissos decididos consensualmente devem ser monitorados. </t>
  </si>
  <si>
    <t>A compatibilidade das decisões a serem tomadas com os valores e princípios e código de conduta ética deve ser verificada em todas as situações.</t>
  </si>
  <si>
    <r>
      <t xml:space="preserve">A tomada de decisões deve considerar os </t>
    </r>
    <r>
      <rPr>
        <b/>
        <i/>
        <sz val="11"/>
        <rFont val="Calibri"/>
        <family val="2"/>
        <scheme val="minor"/>
      </rPr>
      <t>riscos inteligentes</t>
    </r>
    <r>
      <rPr>
        <b/>
        <sz val="11"/>
        <color rgb="FF0070C0"/>
        <rFont val="Calibri"/>
        <family val="2"/>
        <scheme val="minor"/>
      </rPr>
      <t>75</t>
    </r>
    <r>
      <rPr>
        <b/>
        <sz val="11"/>
        <rFont val="Calibri"/>
        <family val="2"/>
        <scheme val="minor"/>
      </rPr>
      <t xml:space="preserve"> para as partes impactadas pela decisão.</t>
    </r>
  </si>
  <si>
    <r>
      <t xml:space="preserve">Os compromissos </t>
    </r>
    <r>
      <rPr>
        <b/>
        <sz val="11"/>
        <color rgb="FF0070C0"/>
        <rFont val="Calibri"/>
        <family val="2"/>
        <scheme val="minor"/>
      </rPr>
      <t>decididos</t>
    </r>
    <r>
      <rPr>
        <b/>
        <sz val="11"/>
        <rFont val="Calibri"/>
        <family val="2"/>
        <scheme val="minor"/>
      </rPr>
      <t xml:space="preserve"> devem ser monitorados de forma integrada </t>
    </r>
    <r>
      <rPr>
        <b/>
        <sz val="11"/>
        <color rgb="FF0070C0"/>
        <rFont val="Calibri"/>
        <family val="2"/>
        <scheme val="minor"/>
      </rPr>
      <t>analisando interinfluências</t>
    </r>
    <r>
      <rPr>
        <b/>
        <sz val="11"/>
        <rFont val="Calibri"/>
        <family val="2"/>
        <scheme val="minor"/>
      </rPr>
      <t xml:space="preserve">. </t>
    </r>
  </si>
  <si>
    <t>Os responsáveis, na organização, por compromissos vincendos, devem ser alertados.</t>
  </si>
  <si>
    <r>
      <t xml:space="preserve">A análise da decisão a ser tomada deve considerar os </t>
    </r>
    <r>
      <rPr>
        <b/>
        <i/>
        <sz val="11"/>
        <rFont val="Calibri"/>
        <family val="2"/>
        <scheme val="minor"/>
      </rPr>
      <t>riscos inteligentes</t>
    </r>
    <r>
      <rPr>
        <b/>
        <sz val="11"/>
        <rFont val="Calibri"/>
        <family val="2"/>
        <scheme val="minor"/>
      </rPr>
      <t xml:space="preserve"> associados a ela e sua reversibilidade.</t>
    </r>
  </si>
  <si>
    <t>2.</t>
  </si>
  <si>
    <t xml:space="preserve">CRITÉRIO 2 - ESTRATÉGIAS </t>
  </si>
  <si>
    <r>
      <t xml:space="preserve">Este Critério trata da gestão da manutenção de </t>
    </r>
    <r>
      <rPr>
        <i/>
        <sz val="10"/>
        <rFont val="Calibri"/>
        <family val="2"/>
        <scheme val="minor"/>
      </rPr>
      <t>estratégias</t>
    </r>
    <r>
      <rPr>
        <sz val="10"/>
        <rFont val="Calibri"/>
        <family val="2"/>
        <scheme val="minor"/>
      </rPr>
      <t xml:space="preserve"> sustentáveis, da sua implementação e da análise de desempenho. </t>
    </r>
  </si>
  <si>
    <t>2.1</t>
  </si>
  <si>
    <t>2.1 Estratégias sustentáveis</t>
  </si>
  <si>
    <t>2.1a</t>
  </si>
  <si>
    <t>a) Definição da esfera de influência e objetivos</t>
  </si>
  <si>
    <r>
      <t xml:space="preserve">Tem as finalidades de </t>
    </r>
    <r>
      <rPr>
        <b/>
        <u/>
        <sz val="10"/>
        <rFont val="Calibri"/>
        <family val="2"/>
        <scheme val="minor"/>
      </rPr>
      <t>identificar</t>
    </r>
    <r>
      <rPr>
        <b/>
        <sz val="10"/>
        <color rgb="FF0070C0"/>
        <rFont val="Calibri"/>
        <family val="2"/>
        <scheme val="minor"/>
      </rPr>
      <t>80</t>
    </r>
    <r>
      <rPr>
        <b/>
        <sz val="10"/>
        <rFont val="Calibri"/>
        <family val="2"/>
        <scheme val="minor"/>
      </rPr>
      <t xml:space="preserve"> as </t>
    </r>
    <r>
      <rPr>
        <b/>
        <i/>
        <sz val="10"/>
        <rFont val="Calibri"/>
        <family val="2"/>
        <scheme val="minor"/>
      </rPr>
      <t>partes interessadas</t>
    </r>
    <r>
      <rPr>
        <b/>
        <sz val="10"/>
        <rFont val="Calibri"/>
        <family val="2"/>
        <scheme val="minor"/>
      </rPr>
      <t xml:space="preserve"> da esfera de influência</t>
    </r>
    <r>
      <rPr>
        <b/>
        <sz val="10"/>
        <color rgb="FF0070C0"/>
        <rFont val="Calibri"/>
        <family val="2"/>
        <scheme val="minor"/>
      </rPr>
      <t>81</t>
    </r>
    <r>
      <rPr>
        <b/>
        <sz val="10"/>
        <rFont val="Calibri"/>
        <family val="2"/>
        <scheme val="minor"/>
      </rPr>
      <t xml:space="preserve"> da organização </t>
    </r>
    <r>
      <rPr>
        <b/>
        <sz val="10"/>
        <color rgb="FF0070C0"/>
        <rFont val="Calibri"/>
        <family val="2"/>
        <scheme val="minor"/>
      </rPr>
      <t>e os graus de influência mútuos</t>
    </r>
    <r>
      <rPr>
        <b/>
        <sz val="10"/>
        <rFont val="Calibri"/>
        <family val="2"/>
        <scheme val="minor"/>
      </rPr>
      <t xml:space="preserve">, </t>
    </r>
    <r>
      <rPr>
        <b/>
        <u/>
        <sz val="10"/>
        <rFont val="Calibri"/>
        <family val="2"/>
        <scheme val="minor"/>
      </rPr>
      <t>inventariar</t>
    </r>
    <r>
      <rPr>
        <b/>
        <sz val="10"/>
        <rFont val="Calibri"/>
        <family val="2"/>
        <scheme val="minor"/>
      </rPr>
      <t xml:space="preserve"> os seus anseios e as potenciais sinergias e incompatibilidades entre eles, </t>
    </r>
    <r>
      <rPr>
        <b/>
        <u/>
        <sz val="10"/>
        <rFont val="Calibri"/>
        <family val="2"/>
        <scheme val="minor"/>
      </rPr>
      <t>definir</t>
    </r>
    <r>
      <rPr>
        <b/>
        <sz val="10"/>
        <rFont val="Calibri"/>
        <family val="2"/>
        <scheme val="minor"/>
      </rPr>
      <t xml:space="preserve"> temas relevantes para a gestão e </t>
    </r>
    <r>
      <rPr>
        <b/>
        <u/>
        <sz val="10"/>
        <rFont val="Calibri"/>
        <family val="2"/>
        <scheme val="minor"/>
      </rPr>
      <t>estabelecer</t>
    </r>
    <r>
      <rPr>
        <b/>
        <sz val="10"/>
        <rFont val="Calibri"/>
        <family val="2"/>
        <scheme val="minor"/>
      </rPr>
      <t xml:space="preserve"> objetivos para o negócio, associados à sua visão e/ou missão crítica ou objeto social.</t>
    </r>
  </si>
  <si>
    <r>
      <t xml:space="preserve">Informar os </t>
    </r>
    <r>
      <rPr>
        <b/>
        <i/>
        <sz val="11"/>
        <rFont val="Calibri"/>
        <family val="2"/>
        <scheme val="minor"/>
      </rPr>
      <t>indicadores</t>
    </r>
    <r>
      <rPr>
        <b/>
        <sz val="11"/>
        <rFont val="Calibri"/>
        <family val="2"/>
        <scheme val="minor"/>
      </rPr>
      <t xml:space="preserve"> do negócio</t>
    </r>
    <r>
      <rPr>
        <b/>
        <sz val="11"/>
        <color rgb="FF0070C0"/>
        <rFont val="Calibri"/>
        <family val="2"/>
        <scheme val="minor"/>
      </rPr>
      <t>82</t>
    </r>
    <r>
      <rPr>
        <b/>
        <sz val="11"/>
        <rFont val="Calibri"/>
        <family val="2"/>
        <scheme val="minor"/>
      </rPr>
      <t xml:space="preserve"> com seus resultados no Critério 8, identificados com (N).</t>
    </r>
  </si>
  <si>
    <t>As organizações ou públicos da esfera de influência da organização devem ser analisados.</t>
  </si>
  <si>
    <r>
      <t xml:space="preserve">Os objetivos da organização devem considerar </t>
    </r>
    <r>
      <rPr>
        <b/>
        <sz val="11"/>
        <color rgb="FF0070C0"/>
        <rFont val="Calibri"/>
        <family val="2"/>
        <scheme val="minor"/>
      </rPr>
      <t xml:space="preserve">os anseios das </t>
    </r>
    <r>
      <rPr>
        <b/>
        <i/>
        <sz val="11"/>
        <color rgb="FF0070C0"/>
        <rFont val="Calibri"/>
        <family val="2"/>
        <scheme val="minor"/>
      </rPr>
      <t>partes interessadas</t>
    </r>
    <r>
      <rPr>
        <b/>
        <sz val="11"/>
        <color rgb="FF0070C0"/>
        <rFont val="Calibri"/>
        <family val="2"/>
        <scheme val="minor"/>
      </rPr>
      <t xml:space="preserve"> mais importantes,</t>
    </r>
    <r>
      <rPr>
        <b/>
        <sz val="11"/>
        <rFont val="Calibri"/>
        <family val="2"/>
        <scheme val="minor"/>
      </rPr>
      <t xml:space="preserve"> as demandas</t>
    </r>
    <r>
      <rPr>
        <b/>
        <sz val="11"/>
        <color rgb="FF0070C0"/>
        <rFont val="Calibri"/>
        <family val="2"/>
        <scheme val="minor"/>
      </rPr>
      <t>83</t>
    </r>
    <r>
      <rPr>
        <b/>
        <sz val="11"/>
        <rFont val="Calibri"/>
        <family val="2"/>
        <scheme val="minor"/>
      </rPr>
      <t xml:space="preserve"> do </t>
    </r>
    <r>
      <rPr>
        <b/>
        <i/>
        <sz val="11"/>
        <rFont val="Calibri"/>
        <family val="2"/>
        <scheme val="minor"/>
      </rPr>
      <t>desenvolvimento sustentável</t>
    </r>
    <r>
      <rPr>
        <b/>
        <sz val="11"/>
        <rFont val="Calibri"/>
        <family val="2"/>
        <scheme val="minor"/>
      </rPr>
      <t xml:space="preserve">, </t>
    </r>
    <r>
      <rPr>
        <b/>
        <sz val="11"/>
        <color rgb="FF0070C0"/>
        <rFont val="Calibri"/>
        <family val="2"/>
        <scheme val="minor"/>
      </rPr>
      <t>incluindo a descarbonização, e também,</t>
    </r>
    <r>
      <rPr>
        <b/>
        <sz val="11"/>
        <rFont val="Calibri"/>
        <family val="2"/>
        <scheme val="minor"/>
      </rPr>
      <t xml:space="preserve"> quando aplicável para o perfil, </t>
    </r>
    <r>
      <rPr>
        <b/>
        <sz val="11"/>
        <color rgb="FF0070C0"/>
        <rFont val="Calibri"/>
        <family val="2"/>
        <scheme val="minor"/>
      </rPr>
      <t>as demandas</t>
    </r>
    <r>
      <rPr>
        <b/>
        <sz val="11"/>
        <rFont val="Calibri"/>
        <family val="2"/>
        <scheme val="minor"/>
      </rPr>
      <t xml:space="preserve"> da universalização e do saneamento ambiental integrado.</t>
    </r>
  </si>
  <si>
    <r>
      <rPr>
        <b/>
        <sz val="11"/>
        <color rgb="FF0070C0"/>
        <rFont val="Calibri"/>
        <family val="2"/>
        <scheme val="minor"/>
      </rPr>
      <t>Os objetivos para o negócio</t>
    </r>
    <r>
      <rPr>
        <b/>
        <sz val="11"/>
        <rFont val="Calibri"/>
        <family val="2"/>
        <scheme val="minor"/>
      </rPr>
      <t xml:space="preserve"> devem ser estabelecidos com a participação</t>
    </r>
    <r>
      <rPr>
        <b/>
        <sz val="11"/>
        <color rgb="FF0070C0"/>
        <rFont val="Calibri"/>
        <family val="2"/>
        <scheme val="minor"/>
      </rPr>
      <t>84</t>
    </r>
    <r>
      <rPr>
        <b/>
        <sz val="11"/>
        <rFont val="Calibri"/>
        <family val="2"/>
        <scheme val="minor"/>
      </rPr>
      <t xml:space="preserve"> dos </t>
    </r>
    <r>
      <rPr>
        <b/>
        <i/>
        <sz val="11"/>
        <rFont val="Calibri"/>
        <family val="2"/>
        <scheme val="minor"/>
      </rPr>
      <t>administradores</t>
    </r>
    <r>
      <rPr>
        <b/>
        <sz val="11"/>
        <rFont val="Calibri"/>
        <family val="2"/>
        <scheme val="minor"/>
      </rPr>
      <t>.</t>
    </r>
  </si>
  <si>
    <t>As redes de organizações ou de pessoas da esfera de influência da organização devem ser consideradas.</t>
  </si>
  <si>
    <r>
      <rPr>
        <b/>
        <sz val="11"/>
        <color rgb="FF0070C0"/>
        <rFont val="Calibri"/>
        <family val="2"/>
        <scheme val="minor"/>
      </rPr>
      <t>Os graus de influência</t>
    </r>
    <r>
      <rPr>
        <b/>
        <sz val="11"/>
        <rFont val="Calibri"/>
        <family val="2"/>
        <scheme val="minor"/>
      </rPr>
      <t xml:space="preserve"> (pesos) </t>
    </r>
    <r>
      <rPr>
        <b/>
        <sz val="11"/>
        <color rgb="FF0070C0"/>
        <rFont val="Calibri"/>
        <family val="2"/>
        <scheme val="minor"/>
      </rPr>
      <t>mútuos</t>
    </r>
    <r>
      <rPr>
        <b/>
        <sz val="11"/>
        <rFont val="Calibri"/>
        <family val="2"/>
        <scheme val="minor"/>
      </rPr>
      <t xml:space="preserve"> das interações devem ser estabelecidos.</t>
    </r>
  </si>
  <si>
    <r>
      <t>Os principais requisitos</t>
    </r>
    <r>
      <rPr>
        <b/>
        <sz val="11"/>
        <color rgb="FF0070C0"/>
        <rFont val="Calibri"/>
        <family val="2"/>
        <scheme val="minor"/>
      </rPr>
      <t>85</t>
    </r>
    <r>
      <rPr>
        <b/>
        <sz val="11"/>
        <rFont val="Calibri"/>
        <family val="2"/>
        <scheme val="minor"/>
      </rPr>
      <t xml:space="preserve"> e </t>
    </r>
    <r>
      <rPr>
        <b/>
        <i/>
        <sz val="11"/>
        <rFont val="Calibri"/>
        <family val="2"/>
        <scheme val="minor"/>
      </rPr>
      <t>indicadores</t>
    </r>
    <r>
      <rPr>
        <b/>
        <sz val="11"/>
        <rFont val="Calibri"/>
        <family val="2"/>
        <scheme val="minor"/>
      </rPr>
      <t xml:space="preserve"> do negócio relativos </t>
    </r>
    <r>
      <rPr>
        <b/>
        <sz val="11"/>
        <color rgb="FF0070C0"/>
        <rFont val="Calibri"/>
        <family val="2"/>
        <scheme val="minor"/>
      </rPr>
      <t>ao atendimento de anseios de</t>
    </r>
    <r>
      <rPr>
        <b/>
        <sz val="11"/>
        <rFont val="Calibri"/>
        <family val="2"/>
        <scheme val="minor"/>
      </rPr>
      <t xml:space="preserve"> </t>
    </r>
    <r>
      <rPr>
        <b/>
        <i/>
        <sz val="11"/>
        <rFont val="Calibri"/>
        <family val="2"/>
        <scheme val="minor"/>
      </rPr>
      <t>partes interessadas</t>
    </r>
    <r>
      <rPr>
        <b/>
        <sz val="11"/>
        <rFont val="Calibri"/>
        <family val="2"/>
        <scheme val="minor"/>
      </rPr>
      <t xml:space="preserve"> mais importantes devem ser definidos</t>
    </r>
    <r>
      <rPr>
        <b/>
        <sz val="11"/>
        <color rgb="FF0070C0"/>
        <rFont val="Calibri"/>
        <family val="2"/>
        <scheme val="minor"/>
      </rPr>
      <t>86</t>
    </r>
    <r>
      <rPr>
        <b/>
        <sz val="11"/>
        <rFont val="Calibri"/>
        <family val="2"/>
        <scheme val="minor"/>
      </rPr>
      <t xml:space="preserve"> e aprovados pela </t>
    </r>
    <r>
      <rPr>
        <b/>
        <i/>
        <sz val="11"/>
        <rFont val="Calibri"/>
        <family val="2"/>
        <scheme val="minor"/>
      </rPr>
      <t>direção</t>
    </r>
    <r>
      <rPr>
        <b/>
        <sz val="11"/>
        <rFont val="Calibri"/>
        <family val="2"/>
        <scheme val="minor"/>
      </rPr>
      <t>.</t>
    </r>
  </si>
  <si>
    <t xml:space="preserve">O inventário deve incluir as partes interessadas na melhoria do saneamento ambiental nas regiões de atuação e impactadas pela organização. </t>
  </si>
  <si>
    <r>
      <t xml:space="preserve">Os principais compromissos assumidos devem ser comunicados às </t>
    </r>
    <r>
      <rPr>
        <b/>
        <i/>
        <sz val="11"/>
        <color rgb="FF0070C0"/>
        <rFont val="Calibri"/>
        <family val="2"/>
        <scheme val="minor"/>
      </rPr>
      <t>partes interessadas</t>
    </r>
    <r>
      <rPr>
        <b/>
        <sz val="11"/>
        <color rgb="FF0070C0"/>
        <rFont val="Calibri"/>
        <family val="2"/>
        <scheme val="minor"/>
      </rPr>
      <t xml:space="preserve"> afetadas por eles.</t>
    </r>
  </si>
  <si>
    <r>
      <t xml:space="preserve">Os principais </t>
    </r>
    <r>
      <rPr>
        <b/>
        <i/>
        <sz val="11"/>
        <rFont val="Calibri"/>
        <family val="2"/>
        <scheme val="minor"/>
      </rPr>
      <t>indicadores</t>
    </r>
    <r>
      <rPr>
        <b/>
        <sz val="11"/>
        <rFont val="Calibri"/>
        <family val="2"/>
        <scheme val="minor"/>
      </rPr>
      <t xml:space="preserve"> do negócio devem possibilitar também a avaliação da sua competitividade.</t>
    </r>
  </si>
  <si>
    <r>
      <t xml:space="preserve">O cumprimento de compromissos com </t>
    </r>
    <r>
      <rPr>
        <b/>
        <sz val="11"/>
        <color rgb="FF0070C0"/>
        <rFont val="Calibri"/>
        <family val="2"/>
        <scheme val="minor"/>
      </rPr>
      <t>as principais87</t>
    </r>
    <r>
      <rPr>
        <b/>
        <sz val="11"/>
        <rFont val="Calibri"/>
        <family val="2"/>
        <scheme val="minor"/>
      </rPr>
      <t xml:space="preserve"> </t>
    </r>
    <r>
      <rPr>
        <b/>
        <i/>
        <sz val="11"/>
        <rFont val="Calibri"/>
        <family val="2"/>
        <scheme val="minor"/>
      </rPr>
      <t>partes interessadas</t>
    </r>
    <r>
      <rPr>
        <b/>
        <sz val="11"/>
        <rFont val="Calibri"/>
        <family val="2"/>
        <scheme val="minor"/>
      </rPr>
      <t xml:space="preserve"> mais importantes deve ser avaliado por meio de </t>
    </r>
    <r>
      <rPr>
        <b/>
        <i/>
        <sz val="11"/>
        <rFont val="Calibri"/>
        <family val="2"/>
        <scheme val="minor"/>
      </rPr>
      <t>indicadores</t>
    </r>
    <r>
      <rPr>
        <b/>
        <sz val="11"/>
        <color rgb="FF0070C0"/>
        <rFont val="Calibri"/>
        <family val="2"/>
        <scheme val="minor"/>
      </rPr>
      <t>88 do negócio</t>
    </r>
    <r>
      <rPr>
        <b/>
        <sz val="11"/>
        <rFont val="Calibri"/>
        <family val="2"/>
        <scheme val="minor"/>
      </rPr>
      <t>.</t>
    </r>
  </si>
  <si>
    <t>2.1b</t>
  </si>
  <si>
    <t xml:space="preserve">b) Mapeamento e tratamento de forças externas </t>
  </si>
  <si>
    <r>
      <t xml:space="preserve">Visa a </t>
    </r>
    <r>
      <rPr>
        <b/>
        <u/>
        <sz val="10"/>
        <rFont val="Calibri"/>
        <family val="2"/>
        <scheme val="minor"/>
      </rPr>
      <t>identificar</t>
    </r>
    <r>
      <rPr>
        <b/>
        <sz val="10"/>
        <rFont val="Calibri"/>
        <family val="2"/>
        <scheme val="minor"/>
      </rPr>
      <t xml:space="preserve"> continuamente</t>
    </r>
    <r>
      <rPr>
        <b/>
        <sz val="10"/>
        <color rgb="FF0070C0"/>
        <rFont val="Calibri"/>
        <family val="2"/>
        <scheme val="minor"/>
      </rPr>
      <t>89</t>
    </r>
    <r>
      <rPr>
        <b/>
        <sz val="10"/>
        <rFont val="Calibri"/>
        <family val="2"/>
        <scheme val="minor"/>
      </rPr>
      <t xml:space="preserve"> e </t>
    </r>
    <r>
      <rPr>
        <b/>
        <u/>
        <sz val="10"/>
        <rFont val="Calibri"/>
        <family val="2"/>
        <scheme val="minor"/>
      </rPr>
      <t>compreender</t>
    </r>
    <r>
      <rPr>
        <b/>
        <sz val="10"/>
        <rFont val="Calibri"/>
        <family val="2"/>
        <scheme val="minor"/>
      </rPr>
      <t xml:space="preserve"> as ameaças e oportunidades provenientes do ambiente externo, </t>
    </r>
    <r>
      <rPr>
        <b/>
        <u/>
        <sz val="10"/>
        <rFont val="Calibri"/>
        <family val="2"/>
        <scheme val="minor"/>
      </rPr>
      <t>avaliar</t>
    </r>
    <r>
      <rPr>
        <b/>
        <sz val="10"/>
        <rFont val="Calibri"/>
        <family val="2"/>
        <scheme val="minor"/>
      </rPr>
      <t xml:space="preserve"> suas possíveis consequências para o alcance dos objetivos e </t>
    </r>
    <r>
      <rPr>
        <b/>
        <u/>
        <sz val="10"/>
        <rFont val="Calibri"/>
        <family val="2"/>
        <scheme val="minor"/>
      </rPr>
      <t>propor</t>
    </r>
    <r>
      <rPr>
        <b/>
        <i/>
        <sz val="10"/>
        <rFont val="Calibri"/>
        <family val="2"/>
        <scheme val="minor"/>
      </rPr>
      <t xml:space="preserve"> estratégias</t>
    </r>
    <r>
      <rPr>
        <b/>
        <sz val="10"/>
        <rFont val="Calibri"/>
        <family val="2"/>
        <scheme val="minor"/>
      </rPr>
      <t xml:space="preserve"> potenciais ágeis para contornar ou aproveitar esses aspectos. </t>
    </r>
  </si>
  <si>
    <r>
      <t xml:space="preserve">Citar, </t>
    </r>
    <r>
      <rPr>
        <b/>
        <sz val="11"/>
        <color rgb="FF0070C0"/>
        <rFont val="Calibri"/>
        <family val="2"/>
        <scheme val="minor"/>
      </rPr>
      <t>ao menos, duas</t>
    </r>
    <r>
      <rPr>
        <b/>
        <sz val="11"/>
        <rFont val="Calibri"/>
        <family val="2"/>
        <scheme val="minor"/>
      </rPr>
      <t xml:space="preserve"> ameaças e</t>
    </r>
    <r>
      <rPr>
        <b/>
        <sz val="11"/>
        <color rgb="FF0070C0"/>
        <rFont val="Calibri"/>
        <family val="2"/>
        <scheme val="minor"/>
      </rPr>
      <t xml:space="preserve"> duas</t>
    </r>
    <r>
      <rPr>
        <b/>
        <sz val="11"/>
        <rFont val="Calibri"/>
        <family val="2"/>
        <scheme val="minor"/>
      </rPr>
      <t xml:space="preserve"> oportunidades mais relevantes, atualmente consideradas.</t>
    </r>
  </si>
  <si>
    <t>Os possíveis impactos das ameaças e oportunidades devem ser analisados e ponderados com a participação de gestores e profissionais e uso de fontes de informação confiáveis.</t>
  </si>
  <si>
    <r>
      <t xml:space="preserve">Destacar as ameaças e oportunidades do ambiente externo com impacto social, ambiental, econômico ou de </t>
    </r>
    <r>
      <rPr>
        <b/>
        <i/>
        <sz val="11"/>
        <rFont val="Calibri"/>
        <family val="2"/>
        <scheme val="minor"/>
      </rPr>
      <t>governança</t>
    </r>
    <r>
      <rPr>
        <b/>
        <sz val="11"/>
        <rFont val="Calibri"/>
        <family val="2"/>
        <scheme val="minor"/>
      </rPr>
      <t xml:space="preserve"> mais relevantes, se existirem.</t>
    </r>
  </si>
  <si>
    <t>A identificação de oportunidades deve incluir as provenientes de parcerias potenciais com a comunidade, academia ou outras organizações.</t>
  </si>
  <si>
    <r>
      <t xml:space="preserve">A identificação de ameaças e oportunidades deve considerar as detectadas no gerenciamento dos </t>
    </r>
    <r>
      <rPr>
        <b/>
        <i/>
        <sz val="11"/>
        <rFont val="Calibri"/>
        <family val="2"/>
        <scheme val="minor"/>
      </rPr>
      <t>riscos</t>
    </r>
    <r>
      <rPr>
        <b/>
        <sz val="11"/>
        <rFont val="Calibri"/>
        <family val="2"/>
        <scheme val="minor"/>
      </rPr>
      <t xml:space="preserve"> externos e, quando aplicável ao perfil da organização, no acompanhamento dos planos oficiais de saneamento ambiental do poder concedente e de órgãos </t>
    </r>
    <r>
      <rPr>
        <b/>
        <i/>
        <sz val="11"/>
        <rFont val="Calibri"/>
        <family val="2"/>
        <scheme val="minor"/>
      </rPr>
      <t>reguladores</t>
    </r>
    <r>
      <rPr>
        <b/>
        <sz val="11"/>
        <rFont val="Calibri"/>
        <family val="2"/>
        <scheme val="minor"/>
      </rPr>
      <t xml:space="preserve"> e ambientais.</t>
    </r>
  </si>
  <si>
    <r>
      <t xml:space="preserve">A identificação de ameaças e oportunidades deve incluir a avaliação de tendências e cenários </t>
    </r>
    <r>
      <rPr>
        <b/>
        <sz val="11"/>
        <color rgb="FF0070C0"/>
        <rFont val="Calibri"/>
        <family val="2"/>
        <scheme val="minor"/>
      </rPr>
      <t>mais prováveis</t>
    </r>
    <r>
      <rPr>
        <b/>
        <sz val="11"/>
        <rFont val="Calibri"/>
        <family val="2"/>
        <scheme val="minor"/>
      </rPr>
      <t>.</t>
    </r>
  </si>
  <si>
    <t>As oportunidades e ameaças externas devem ser analisadas de forma integrada e ponderadas em termos de maior potencial de resultados.</t>
  </si>
  <si>
    <r>
      <t xml:space="preserve">A identificação de oportunidades provenientes de parcerias potenciais com a comunidade, academia ou outras organizações deve incluir temas relativos ao </t>
    </r>
    <r>
      <rPr>
        <b/>
        <i/>
        <sz val="11"/>
        <color rgb="FF0070C0"/>
        <rFont val="Calibri"/>
        <family val="2"/>
        <scheme val="minor"/>
      </rPr>
      <t>desenvolvimento sustentável</t>
    </r>
    <r>
      <rPr>
        <b/>
        <sz val="11"/>
        <color rgb="FF0070C0"/>
        <rFont val="Calibri"/>
        <family val="2"/>
        <scheme val="minor"/>
      </rPr>
      <t xml:space="preserve"> e adaptação digital.</t>
    </r>
  </si>
  <si>
    <r>
      <t>A identificação de ameaças deve incluir a sondagem de competências diferenciadas</t>
    </r>
    <r>
      <rPr>
        <b/>
        <sz val="11"/>
        <color rgb="FF0070C0"/>
        <rFont val="Calibri"/>
        <family val="2"/>
        <scheme val="minor"/>
      </rPr>
      <t>90</t>
    </r>
    <r>
      <rPr>
        <b/>
        <sz val="11"/>
        <rFont val="Calibri"/>
        <family val="2"/>
        <scheme val="minor"/>
      </rPr>
      <t xml:space="preserve"> dos principais concorrentes, novos entrantes e organizações de referência, </t>
    </r>
    <r>
      <rPr>
        <b/>
        <sz val="11"/>
        <color rgb="FF0070C0"/>
        <rFont val="Calibri"/>
        <family val="2"/>
        <scheme val="minor"/>
      </rPr>
      <t>que podem estar na causa raiz de resultados adversos, incluindo de qualidade, eficiência operacional, que devem ser aprofundadas para expandir os ativos intangíveis a elas associados.</t>
    </r>
  </si>
  <si>
    <t>2.1c</t>
  </si>
  <si>
    <t>c) Compilação e tratamento das forças internas</t>
  </si>
  <si>
    <r>
      <t xml:space="preserve">Visa a </t>
    </r>
    <r>
      <rPr>
        <b/>
        <u/>
        <sz val="10"/>
        <rFont val="Calibri"/>
        <family val="2"/>
        <scheme val="minor"/>
      </rPr>
      <t>compreender</t>
    </r>
    <r>
      <rPr>
        <b/>
        <sz val="10"/>
        <rFont val="Calibri"/>
        <family val="2"/>
        <scheme val="minor"/>
      </rPr>
      <t xml:space="preserve"> as forças</t>
    </r>
    <r>
      <rPr>
        <b/>
        <sz val="10"/>
        <color rgb="FF0070C0"/>
        <rFont val="Calibri"/>
        <family val="2"/>
        <scheme val="minor"/>
      </rPr>
      <t>91</t>
    </r>
    <r>
      <rPr>
        <b/>
        <sz val="10"/>
        <rFont val="Calibri"/>
        <family val="2"/>
        <scheme val="minor"/>
      </rPr>
      <t xml:space="preserve"> e fraquezas provenientes do ambiente interno, </t>
    </r>
    <r>
      <rPr>
        <b/>
        <u/>
        <sz val="10"/>
        <rFont val="Calibri"/>
        <family val="2"/>
        <scheme val="minor"/>
      </rPr>
      <t>reavaliar</t>
    </r>
    <r>
      <rPr>
        <b/>
        <sz val="10"/>
        <rFont val="Calibri"/>
        <family val="2"/>
        <scheme val="minor"/>
      </rPr>
      <t xml:space="preserve"> seus possíveis impactos para o alcance dos objetivos do negócio e </t>
    </r>
    <r>
      <rPr>
        <b/>
        <u/>
        <sz val="10"/>
        <rFont val="Calibri"/>
        <family val="2"/>
        <scheme val="minor"/>
      </rPr>
      <t>propor</t>
    </r>
    <r>
      <rPr>
        <b/>
        <sz val="10"/>
        <rFont val="Calibri"/>
        <family val="2"/>
        <scheme val="minor"/>
      </rPr>
      <t xml:space="preserve"> </t>
    </r>
    <r>
      <rPr>
        <b/>
        <i/>
        <sz val="10"/>
        <rFont val="Calibri"/>
        <family val="2"/>
        <scheme val="minor"/>
      </rPr>
      <t>estratégias</t>
    </r>
    <r>
      <rPr>
        <b/>
        <sz val="10"/>
        <rFont val="Calibri"/>
        <family val="2"/>
        <scheme val="minor"/>
      </rPr>
      <t xml:space="preserve"> potenciais para melhor contornar ou aproveitar esses aspectos. </t>
    </r>
  </si>
  <si>
    <r>
      <t>Citar</t>
    </r>
    <r>
      <rPr>
        <b/>
        <sz val="11"/>
        <color rgb="FF0070C0"/>
        <rFont val="Calibri"/>
        <family val="2"/>
        <scheme val="minor"/>
      </rPr>
      <t>, ao menos, dois</t>
    </r>
    <r>
      <rPr>
        <b/>
        <sz val="11"/>
        <rFont val="Calibri"/>
        <family val="2"/>
        <scheme val="minor"/>
      </rPr>
      <t xml:space="preserve"> exemplos de forças e </t>
    </r>
    <r>
      <rPr>
        <b/>
        <sz val="11"/>
        <color rgb="FF0070C0"/>
        <rFont val="Calibri"/>
        <family val="2"/>
        <scheme val="minor"/>
      </rPr>
      <t xml:space="preserve">dois exemplos de </t>
    </r>
    <r>
      <rPr>
        <b/>
        <sz val="11"/>
        <rFont val="Calibri"/>
        <family val="2"/>
        <scheme val="minor"/>
      </rPr>
      <t>fraquezas mais relevantes, atualmente consideradas</t>
    </r>
    <r>
      <rPr>
        <b/>
        <sz val="11"/>
        <color rgb="FF0070C0"/>
        <rFont val="Calibri"/>
        <family val="2"/>
        <scheme val="minor"/>
      </rPr>
      <t>, e os setores ou atores envolvidos</t>
    </r>
    <r>
      <rPr>
        <b/>
        <sz val="11"/>
        <rFont val="Calibri"/>
        <family val="2"/>
        <scheme val="minor"/>
      </rPr>
      <t>.</t>
    </r>
  </si>
  <si>
    <t>Os possíveis impactos das forças e fraquezas devem ser analisados e ponderados com a participação de gestores e profissionais.</t>
  </si>
  <si>
    <t>A identificação de forças e fraquezas deve considerar as detectadas no gerenciamento dos riscos internos e da atuação ESG.</t>
  </si>
  <si>
    <r>
      <t xml:space="preserve">O estudo das forças e fraquezas deve incluir a avaliação de tendências e cenários </t>
    </r>
    <r>
      <rPr>
        <b/>
        <sz val="11"/>
        <color rgb="FF0070C0"/>
        <rFont val="Calibri"/>
        <family val="2"/>
        <scheme val="minor"/>
      </rPr>
      <t>mais prováveis</t>
    </r>
    <r>
      <rPr>
        <b/>
        <sz val="11"/>
        <rFont val="Calibri"/>
        <family val="2"/>
        <scheme val="minor"/>
      </rPr>
      <t>.</t>
    </r>
  </si>
  <si>
    <t>As forças e fraquezas internas devem ser analisadas de forma integrada e ponderadas em termos de maior potencial de melhorar resultados.</t>
  </si>
  <si>
    <r>
      <t xml:space="preserve">O estudo das forças e fraquezas deve incluir a identificação das competências faltantes para organização que estão na causa raiz de resultados adversos, incluindo de </t>
    </r>
    <r>
      <rPr>
        <b/>
        <i/>
        <sz val="11"/>
        <rFont val="Calibri"/>
        <family val="2"/>
        <scheme val="minor"/>
      </rPr>
      <t>qualidade</t>
    </r>
    <r>
      <rPr>
        <b/>
        <sz val="11"/>
        <rFont val="Calibri"/>
        <family val="2"/>
        <scheme val="minor"/>
      </rPr>
      <t xml:space="preserve"> e eficiência operacional, </t>
    </r>
    <r>
      <rPr>
        <b/>
        <sz val="11"/>
        <color rgb="FF0070C0"/>
        <rFont val="Calibri"/>
        <family val="2"/>
        <scheme val="minor"/>
      </rPr>
      <t>que</t>
    </r>
    <r>
      <rPr>
        <b/>
        <sz val="11"/>
        <rFont val="Calibri"/>
        <family val="2"/>
        <scheme val="minor"/>
      </rPr>
      <t xml:space="preserve"> devem ser aprofundadas para expandir os </t>
    </r>
    <r>
      <rPr>
        <b/>
        <i/>
        <sz val="11"/>
        <rFont val="Calibri"/>
        <family val="2"/>
        <scheme val="minor"/>
      </rPr>
      <t>ativos intangíveis</t>
    </r>
    <r>
      <rPr>
        <b/>
        <sz val="11"/>
        <rFont val="Calibri"/>
        <family val="2"/>
        <scheme val="minor"/>
      </rPr>
      <t xml:space="preserve"> a elas associados.</t>
    </r>
  </si>
  <si>
    <t>2.1d</t>
  </si>
  <si>
    <t xml:space="preserve">d) Consenso estratégico </t>
  </si>
  <si>
    <r>
      <t xml:space="preserve">Tem como finalidades </t>
    </r>
    <r>
      <rPr>
        <b/>
        <u/>
        <sz val="10"/>
        <rFont val="Calibri"/>
        <family val="2"/>
        <scheme val="minor"/>
      </rPr>
      <t>avaliar</t>
    </r>
    <r>
      <rPr>
        <b/>
        <sz val="10"/>
        <rFont val="Calibri"/>
        <family val="2"/>
        <scheme val="minor"/>
      </rPr>
      <t xml:space="preserve">, para atingir os objetivos do negócio, as </t>
    </r>
    <r>
      <rPr>
        <b/>
        <i/>
        <sz val="10"/>
        <rFont val="Calibri"/>
        <family val="2"/>
        <scheme val="minor"/>
      </rPr>
      <t>estratégias</t>
    </r>
    <r>
      <rPr>
        <b/>
        <sz val="10"/>
        <rFont val="Calibri"/>
        <family val="2"/>
        <scheme val="minor"/>
      </rPr>
      <t xml:space="preserve"> potenciais, resultantes da análise dos ambientes externo e interno, e </t>
    </r>
    <r>
      <rPr>
        <b/>
        <u/>
        <sz val="10"/>
        <rFont val="Calibri"/>
        <family val="2"/>
        <scheme val="minor"/>
      </rPr>
      <t>definir</t>
    </r>
    <r>
      <rPr>
        <b/>
        <sz val="10"/>
        <rFont val="Calibri"/>
        <family val="2"/>
        <scheme val="minor"/>
      </rPr>
      <t xml:space="preserve"> as </t>
    </r>
    <r>
      <rPr>
        <b/>
        <i/>
        <sz val="10"/>
        <rFont val="Calibri"/>
        <family val="2"/>
        <scheme val="minor"/>
      </rPr>
      <t>estratégias</t>
    </r>
    <r>
      <rPr>
        <b/>
        <sz val="10"/>
        <color rgb="FF0070C0"/>
        <rFont val="Calibri"/>
        <family val="2"/>
        <scheme val="minor"/>
      </rPr>
      <t>92</t>
    </r>
    <r>
      <rPr>
        <b/>
        <sz val="10"/>
        <rFont val="Calibri"/>
        <family val="2"/>
        <scheme val="minor"/>
      </rPr>
      <t xml:space="preserve"> de melhor retorno a serem adotadas, os </t>
    </r>
    <r>
      <rPr>
        <b/>
        <i/>
        <sz val="10"/>
        <rFont val="Calibri"/>
        <family val="2"/>
        <scheme val="minor"/>
      </rPr>
      <t xml:space="preserve">indicadores </t>
    </r>
    <r>
      <rPr>
        <b/>
        <sz val="10"/>
        <rFont val="Calibri"/>
        <family val="2"/>
        <scheme val="minor"/>
      </rPr>
      <t>estratégicos</t>
    </r>
    <r>
      <rPr>
        <b/>
        <sz val="10"/>
        <color rgb="FF0070C0"/>
        <rFont val="Calibri"/>
        <family val="2"/>
        <scheme val="minor"/>
      </rPr>
      <t>93</t>
    </r>
    <r>
      <rPr>
        <b/>
        <sz val="10"/>
        <rFont val="Calibri"/>
        <family val="2"/>
        <scheme val="minor"/>
      </rPr>
      <t xml:space="preserve"> associados e aos objetivos das </t>
    </r>
    <r>
      <rPr>
        <b/>
        <i/>
        <sz val="10"/>
        <rFont val="Calibri"/>
        <family val="2"/>
        <scheme val="minor"/>
      </rPr>
      <t>estratégias</t>
    </r>
    <r>
      <rPr>
        <b/>
        <sz val="10"/>
        <rFont val="Calibri"/>
        <family val="2"/>
        <scheme val="minor"/>
      </rPr>
      <t>, os planos</t>
    </r>
    <r>
      <rPr>
        <b/>
        <sz val="10"/>
        <color rgb="FF0070C0"/>
        <rFont val="Calibri"/>
        <family val="2"/>
        <scheme val="minor"/>
      </rPr>
      <t>94</t>
    </r>
    <r>
      <rPr>
        <b/>
        <sz val="10"/>
        <rFont val="Calibri"/>
        <family val="2"/>
        <scheme val="minor"/>
      </rPr>
      <t xml:space="preserve"> para alcançá-los e as metas a serem atingidas, no curto, médio ou longo prazos.</t>
    </r>
  </si>
  <si>
    <r>
      <t xml:space="preserve">Citar as </t>
    </r>
    <r>
      <rPr>
        <b/>
        <sz val="11"/>
        <color rgb="FF0070C0"/>
        <rFont val="Calibri"/>
        <family val="2"/>
        <scheme val="minor"/>
      </rPr>
      <t>principais</t>
    </r>
    <r>
      <rPr>
        <b/>
        <sz val="11"/>
        <rFont val="Calibri"/>
        <family val="2"/>
        <scheme val="minor"/>
      </rPr>
      <t xml:space="preserve"> </t>
    </r>
    <r>
      <rPr>
        <b/>
        <i/>
        <sz val="11"/>
        <rFont val="Calibri"/>
        <family val="2"/>
        <scheme val="minor"/>
      </rPr>
      <t>estratégias</t>
    </r>
    <r>
      <rPr>
        <b/>
        <sz val="11"/>
        <rFont val="Calibri"/>
        <family val="2"/>
        <scheme val="minor"/>
      </rPr>
      <t xml:space="preserve"> </t>
    </r>
    <r>
      <rPr>
        <b/>
        <sz val="11"/>
        <color rgb="FF0070C0"/>
        <rFont val="Calibri"/>
        <family val="2"/>
        <scheme val="minor"/>
      </rPr>
      <t>adotadas95</t>
    </r>
    <r>
      <rPr>
        <b/>
        <sz val="11"/>
        <rFont val="Calibri"/>
        <family val="2"/>
        <scheme val="minor"/>
      </rPr>
      <t>, os</t>
    </r>
    <r>
      <rPr>
        <b/>
        <i/>
        <sz val="11"/>
        <rFont val="Calibri"/>
        <family val="2"/>
        <scheme val="minor"/>
      </rPr>
      <t xml:space="preserve"> indicadores estratégicos</t>
    </r>
    <r>
      <rPr>
        <b/>
        <sz val="11"/>
        <rFont val="Calibri"/>
        <family val="2"/>
        <scheme val="minor"/>
      </rPr>
      <t xml:space="preserve"> a elas associados e suas metas</t>
    </r>
    <r>
      <rPr>
        <b/>
        <sz val="11"/>
        <color rgb="FF0070C0"/>
        <rFont val="Calibri"/>
        <family val="2"/>
        <scheme val="minor"/>
      </rPr>
      <t>96</t>
    </r>
    <r>
      <rPr>
        <b/>
        <sz val="11"/>
        <rFont val="Calibri"/>
        <family val="2"/>
        <scheme val="minor"/>
      </rPr>
      <t xml:space="preserve"> de curto, médio ou longo prazos.</t>
    </r>
  </si>
  <si>
    <r>
      <t xml:space="preserve">A definição de </t>
    </r>
    <r>
      <rPr>
        <b/>
        <i/>
        <sz val="11"/>
        <rFont val="Calibri"/>
        <family val="2"/>
        <scheme val="minor"/>
      </rPr>
      <t>estratégias</t>
    </r>
    <r>
      <rPr>
        <b/>
        <sz val="11"/>
        <rFont val="Calibri"/>
        <family val="2"/>
        <scheme val="minor"/>
      </rPr>
      <t xml:space="preserve"> deve considerar </t>
    </r>
    <r>
      <rPr>
        <b/>
        <sz val="11"/>
        <color rgb="FF0070C0"/>
        <rFont val="Calibri"/>
        <family val="2"/>
        <scheme val="minor"/>
      </rPr>
      <t>as forças internas e externas</t>
    </r>
    <r>
      <rPr>
        <b/>
        <sz val="11"/>
        <rFont val="Calibri"/>
        <family val="2"/>
        <scheme val="minor"/>
      </rPr>
      <t xml:space="preserve">, os requisitos </t>
    </r>
    <r>
      <rPr>
        <b/>
        <sz val="11"/>
        <color rgb="FF0070C0"/>
        <rFont val="Calibri"/>
        <family val="2"/>
        <scheme val="minor"/>
      </rPr>
      <t>derivados de necessidades</t>
    </r>
    <r>
      <rPr>
        <b/>
        <sz val="11"/>
        <rFont val="Calibri"/>
        <family val="2"/>
        <scheme val="minor"/>
      </rPr>
      <t xml:space="preserve"> das </t>
    </r>
    <r>
      <rPr>
        <b/>
        <i/>
        <sz val="11"/>
        <rFont val="Calibri"/>
        <family val="2"/>
        <scheme val="minor"/>
      </rPr>
      <t>partes interessadas</t>
    </r>
    <r>
      <rPr>
        <b/>
        <sz val="11"/>
        <rFont val="Calibri"/>
        <family val="2"/>
        <scheme val="minor"/>
      </rPr>
      <t xml:space="preserve"> e </t>
    </r>
    <r>
      <rPr>
        <b/>
        <sz val="11"/>
        <color rgb="FF0070C0"/>
        <rFont val="Calibri"/>
        <family val="2"/>
        <scheme val="minor"/>
      </rPr>
      <t>os</t>
    </r>
    <r>
      <rPr>
        <b/>
        <sz val="11"/>
        <rFont val="Calibri"/>
        <family val="2"/>
        <scheme val="minor"/>
      </rPr>
      <t xml:space="preserve"> </t>
    </r>
    <r>
      <rPr>
        <b/>
        <i/>
        <sz val="11"/>
        <rFont val="Calibri"/>
        <family val="2"/>
        <scheme val="minor"/>
      </rPr>
      <t>riscos</t>
    </r>
    <r>
      <rPr>
        <b/>
        <sz val="11"/>
        <rFont val="Calibri"/>
        <family val="2"/>
        <scheme val="minor"/>
      </rPr>
      <t xml:space="preserve"> relacionados aos </t>
    </r>
    <r>
      <rPr>
        <b/>
        <i/>
        <sz val="11"/>
        <rFont val="Calibri"/>
        <family val="2"/>
        <scheme val="minor"/>
      </rPr>
      <t>ativos de infraestrutura operacional</t>
    </r>
    <r>
      <rPr>
        <b/>
        <sz val="11"/>
        <rFont val="Calibri"/>
        <family val="2"/>
        <scheme val="minor"/>
      </rPr>
      <t>.</t>
    </r>
  </si>
  <si>
    <t>\</t>
  </si>
  <si>
    <r>
      <t>As metas para os objetivos estratégicos devem incluir expectativas de alcance</t>
    </r>
    <r>
      <rPr>
        <b/>
        <sz val="11"/>
        <color rgb="FF0070C0"/>
        <rFont val="Calibri"/>
        <family val="2"/>
        <scheme val="minor"/>
      </rPr>
      <t>97</t>
    </r>
    <r>
      <rPr>
        <b/>
        <sz val="11"/>
        <rFont val="Calibri"/>
        <family val="2"/>
        <scheme val="minor"/>
      </rPr>
      <t xml:space="preserve"> de resultados:</t>
    </r>
  </si>
  <si>
    <r>
      <t>&gt;econômico</t>
    </r>
    <r>
      <rPr>
        <b/>
        <sz val="11"/>
        <color rgb="FF0070C0"/>
        <rFont val="Calibri"/>
        <family val="2"/>
        <scheme val="minor"/>
      </rPr>
      <t>-finaneiros;</t>
    </r>
  </si>
  <si>
    <t>&gt;sociais;</t>
  </si>
  <si>
    <t>&gt;ambientais;</t>
  </si>
  <si>
    <r>
      <rPr>
        <b/>
        <sz val="11"/>
        <rFont val="Calibri"/>
        <family val="2"/>
        <scheme val="minor"/>
      </rPr>
      <t>&gt;de clientes</t>
    </r>
    <r>
      <rPr>
        <b/>
        <sz val="11"/>
        <color rgb="FF0070C0"/>
        <rFont val="Calibri"/>
        <family val="2"/>
        <scheme val="minor"/>
      </rPr>
      <t xml:space="preserve"> e de mercado;</t>
    </r>
  </si>
  <si>
    <t>&gt;de pessoas; e</t>
  </si>
  <si>
    <r>
      <t xml:space="preserve">&gt;de produtos </t>
    </r>
    <r>
      <rPr>
        <b/>
        <sz val="11"/>
        <color rgb="FF0070C0"/>
        <rFont val="Calibri"/>
        <family val="2"/>
        <scheme val="minor"/>
      </rPr>
      <t>e de processos</t>
    </r>
    <r>
      <rPr>
        <b/>
        <sz val="11"/>
        <rFont val="Calibri"/>
        <family val="2"/>
        <scheme val="minor"/>
      </rPr>
      <t>.</t>
    </r>
  </si>
  <si>
    <t>O consenso estratégico deve ser realizado com a participação de gestores e profissionais para estabelecer metas, alinhá-las entre as áreas e promover o comprometimento.</t>
  </si>
  <si>
    <r>
      <t xml:space="preserve">A definição de </t>
    </r>
    <r>
      <rPr>
        <b/>
        <i/>
        <sz val="11"/>
        <rFont val="Calibri"/>
        <family val="2"/>
        <scheme val="minor"/>
      </rPr>
      <t>estratégias</t>
    </r>
    <r>
      <rPr>
        <b/>
        <sz val="11"/>
        <rFont val="Calibri"/>
        <family val="2"/>
        <scheme val="minor"/>
      </rPr>
      <t xml:space="preserve"> nos temas mais complexos deve envolver especialistas e partes interessadas relevantes, para confirmação de hipóteses, quando pertinente.</t>
    </r>
  </si>
  <si>
    <t>As metas para os objetivos estratégicos devem incluir expectativas de alcance de resultados:</t>
  </si>
  <si>
    <t>&gt;de fornecimento;</t>
  </si>
  <si>
    <t>&gt;de recursos hídricos, quando aplicável.</t>
  </si>
  <si>
    <r>
      <t xml:space="preserve">A definição de </t>
    </r>
    <r>
      <rPr>
        <b/>
        <i/>
        <sz val="11"/>
        <rFont val="Calibri"/>
        <family val="2"/>
        <scheme val="minor"/>
      </rPr>
      <t>estratégias</t>
    </r>
    <r>
      <rPr>
        <b/>
        <sz val="11"/>
        <rFont val="Calibri"/>
        <family val="2"/>
        <scheme val="minor"/>
      </rPr>
      <t xml:space="preserve"> deve considerar a </t>
    </r>
    <r>
      <rPr>
        <b/>
        <i/>
        <sz val="11"/>
        <rFont val="Calibri"/>
        <family val="2"/>
        <scheme val="minor"/>
      </rPr>
      <t>inovação</t>
    </r>
    <r>
      <rPr>
        <b/>
        <sz val="11"/>
        <color rgb="FF0070C0"/>
        <rFont val="Calibri"/>
        <family val="2"/>
        <scheme val="minor"/>
      </rPr>
      <t>98</t>
    </r>
    <r>
      <rPr>
        <b/>
        <sz val="11"/>
        <rFont val="Calibri"/>
        <family val="2"/>
        <scheme val="minor"/>
      </rPr>
      <t xml:space="preserve"> </t>
    </r>
    <r>
      <rPr>
        <b/>
        <sz val="11"/>
        <color rgb="FF0070C0"/>
        <rFont val="Calibri"/>
        <family val="2"/>
        <scheme val="minor"/>
      </rPr>
      <t xml:space="preserve">em </t>
    </r>
    <r>
      <rPr>
        <b/>
        <i/>
        <sz val="11"/>
        <color rgb="FF0070C0"/>
        <rFont val="Calibri"/>
        <family val="2"/>
        <scheme val="minor"/>
      </rPr>
      <t>produtos</t>
    </r>
    <r>
      <rPr>
        <b/>
        <sz val="11"/>
        <color rgb="FF0070C0"/>
        <rFont val="Calibri"/>
        <family val="2"/>
        <scheme val="minor"/>
      </rPr>
      <t xml:space="preserve"> e processos, incluindo os de gestão.</t>
    </r>
  </si>
  <si>
    <r>
      <t xml:space="preserve">A projeção de investimentos e retornos de </t>
    </r>
    <r>
      <rPr>
        <b/>
        <i/>
        <sz val="11"/>
        <rFont val="Calibri"/>
        <family val="2"/>
        <scheme val="minor"/>
      </rPr>
      <t>estratégias</t>
    </r>
    <r>
      <rPr>
        <b/>
        <sz val="11"/>
        <rFont val="Calibri"/>
        <family val="2"/>
        <scheme val="minor"/>
      </rPr>
      <t xml:space="preserve"> potenciais deve ser realizada para otimizar a definição daquelas a serem adotadas e as metas a serem definidas</t>
    </r>
  </si>
  <si>
    <r>
      <t xml:space="preserve">As </t>
    </r>
    <r>
      <rPr>
        <b/>
        <i/>
        <sz val="11"/>
        <rFont val="Calibri"/>
        <family val="2"/>
        <scheme val="minor"/>
      </rPr>
      <t>estratégias</t>
    </r>
    <r>
      <rPr>
        <b/>
        <sz val="11"/>
        <rFont val="Calibri"/>
        <family val="2"/>
        <scheme val="minor"/>
      </rPr>
      <t xml:space="preserve"> potenciais propostas devem ser avaliadas em termos de </t>
    </r>
    <r>
      <rPr>
        <b/>
        <sz val="11"/>
        <color rgb="FF0070C0"/>
        <rFont val="Calibri"/>
        <family val="2"/>
        <scheme val="minor"/>
      </rPr>
      <t>retorno</t>
    </r>
    <r>
      <rPr>
        <b/>
        <sz val="11"/>
        <rFont val="Calibri"/>
        <family val="2"/>
        <scheme val="minor"/>
      </rPr>
      <t xml:space="preserve"> econômico, social e ambiental estimado, para </t>
    </r>
    <r>
      <rPr>
        <b/>
        <sz val="11"/>
        <color rgb="FF0070C0"/>
        <rFont val="Calibri"/>
        <family val="2"/>
        <scheme val="minor"/>
      </rPr>
      <t>definir as que serão adotadas</t>
    </r>
    <r>
      <rPr>
        <b/>
        <sz val="11"/>
        <rFont val="Calibri"/>
        <family val="2"/>
        <scheme val="minor"/>
      </rPr>
      <t>.</t>
    </r>
  </si>
  <si>
    <r>
      <rPr>
        <b/>
        <sz val="11"/>
        <color rgb="FF0070C0"/>
        <rFont val="Calibri"/>
        <family val="2"/>
        <scheme val="minor"/>
      </rPr>
      <t xml:space="preserve">O estabelecimento de </t>
    </r>
    <r>
      <rPr>
        <b/>
        <sz val="11"/>
        <rFont val="Calibri"/>
        <family val="2"/>
        <scheme val="minor"/>
      </rPr>
      <t xml:space="preserve">metas estratégicas deve considerar </t>
    </r>
    <r>
      <rPr>
        <b/>
        <sz val="11"/>
        <color rgb="FF0070C0"/>
        <rFont val="Calibri"/>
        <family val="2"/>
        <scheme val="minor"/>
      </rPr>
      <t>referenciais99</t>
    </r>
    <r>
      <rPr>
        <b/>
        <sz val="11"/>
        <rFont val="Calibri"/>
        <family val="2"/>
        <scheme val="minor"/>
      </rPr>
      <t xml:space="preserve">  comparativos pertinentes, requisitos</t>
    </r>
    <r>
      <rPr>
        <b/>
        <sz val="11"/>
        <color rgb="FF0070C0"/>
        <rFont val="Calibri"/>
        <family val="2"/>
        <scheme val="minor"/>
      </rPr>
      <t>100</t>
    </r>
    <r>
      <rPr>
        <b/>
        <sz val="11"/>
        <rFont val="Calibri"/>
        <family val="2"/>
        <scheme val="minor"/>
      </rPr>
      <t xml:space="preserve"> de </t>
    </r>
    <r>
      <rPr>
        <b/>
        <i/>
        <sz val="11"/>
        <rFont val="Calibri"/>
        <family val="2"/>
        <scheme val="minor"/>
      </rPr>
      <t>partes interessadas</t>
    </r>
    <r>
      <rPr>
        <b/>
        <sz val="11"/>
        <rFont val="Calibri"/>
        <family val="2"/>
        <scheme val="minor"/>
      </rPr>
      <t xml:space="preserve"> e </t>
    </r>
    <r>
      <rPr>
        <b/>
        <sz val="11"/>
        <color rgb="FF0070C0"/>
        <rFont val="Calibri"/>
        <family val="2"/>
        <scheme val="minor"/>
      </rPr>
      <t>níveis de resultados já alcançados</t>
    </r>
    <r>
      <rPr>
        <b/>
        <sz val="11"/>
        <rFont val="Calibri"/>
        <family val="2"/>
        <scheme val="minor"/>
      </rPr>
      <t>.</t>
    </r>
  </si>
  <si>
    <r>
      <t xml:space="preserve">O potencial de alcance das metas estratégicas, de curto, médio ou longo prazo, por meio dos planos estabelecidos, deve ser </t>
    </r>
    <r>
      <rPr>
        <b/>
        <sz val="11"/>
        <color rgb="FF0070C0"/>
        <rFont val="Calibri"/>
        <family val="2"/>
        <scheme val="minor"/>
      </rPr>
      <t>embasado em projeções ou estudos de retorno estimado.</t>
    </r>
  </si>
  <si>
    <r>
      <t>&gt;de</t>
    </r>
    <r>
      <rPr>
        <b/>
        <i/>
        <sz val="11"/>
        <rFont val="Calibri"/>
        <family val="2"/>
        <scheme val="minor"/>
      </rPr>
      <t xml:space="preserve"> ativos de infraestrutura operacional</t>
    </r>
    <r>
      <rPr>
        <b/>
        <sz val="11"/>
        <rFont val="Calibri"/>
        <family val="2"/>
        <scheme val="minor"/>
      </rPr>
      <t>, quando aplicável;</t>
    </r>
  </si>
  <si>
    <r>
      <t xml:space="preserve">&gt;de </t>
    </r>
    <r>
      <rPr>
        <b/>
        <i/>
        <sz val="11"/>
        <rFont val="Calibri"/>
        <family val="2"/>
        <scheme val="minor"/>
      </rPr>
      <t>governança</t>
    </r>
    <r>
      <rPr>
        <b/>
        <sz val="11"/>
        <rFont val="Calibri"/>
        <family val="2"/>
        <scheme val="minor"/>
      </rPr>
      <t>.</t>
    </r>
  </si>
  <si>
    <r>
      <t>A definição de</t>
    </r>
    <r>
      <rPr>
        <b/>
        <i/>
        <sz val="11"/>
        <rFont val="Calibri"/>
        <family val="2"/>
        <scheme val="minor"/>
      </rPr>
      <t xml:space="preserve"> indicadores</t>
    </r>
    <r>
      <rPr>
        <b/>
        <sz val="11"/>
        <rFont val="Calibri"/>
        <family val="2"/>
        <scheme val="minor"/>
      </rPr>
      <t xml:space="preserve"> para monitoramento de </t>
    </r>
    <r>
      <rPr>
        <b/>
        <i/>
        <sz val="11"/>
        <rFont val="Calibri"/>
        <family val="2"/>
        <scheme val="minor"/>
      </rPr>
      <t>estratégias</t>
    </r>
    <r>
      <rPr>
        <b/>
        <sz val="11"/>
        <rFont val="Calibri"/>
        <family val="2"/>
        <scheme val="minor"/>
      </rPr>
      <t xml:space="preserve"> deve permitir a avaliação da competitividade do resultado.</t>
    </r>
  </si>
  <si>
    <t>&gt;de descarbonização;</t>
  </si>
  <si>
    <t>&gt;de segurança digital.</t>
  </si>
  <si>
    <r>
      <t xml:space="preserve">A definição de </t>
    </r>
    <r>
      <rPr>
        <b/>
        <i/>
        <sz val="11"/>
        <rFont val="Calibri"/>
        <family val="2"/>
        <scheme val="minor"/>
      </rPr>
      <t>estratégias</t>
    </r>
    <r>
      <rPr>
        <b/>
        <sz val="11"/>
        <rFont val="Calibri"/>
        <family val="2"/>
        <scheme val="minor"/>
      </rPr>
      <t xml:space="preserve"> deve considerar a incorporação de IA aos sistemas digitais.</t>
    </r>
  </si>
  <si>
    <r>
      <t xml:space="preserve">A </t>
    </r>
    <r>
      <rPr>
        <b/>
        <i/>
        <sz val="11"/>
        <rFont val="Calibri"/>
        <family val="2"/>
        <scheme val="minor"/>
      </rPr>
      <t>estratégia</t>
    </r>
    <r>
      <rPr>
        <b/>
        <sz val="11"/>
        <rFont val="Calibri"/>
        <family val="2"/>
        <scheme val="minor"/>
      </rPr>
      <t xml:space="preserve"> potencial de mudança do modelo de negócio deve ser avaliada com vistas à possibilidade de melhorar os retornos </t>
    </r>
    <r>
      <rPr>
        <b/>
        <sz val="11"/>
        <color rgb="FF0070C0"/>
        <rFont val="Calibri"/>
        <family val="2"/>
        <scheme val="minor"/>
      </rPr>
      <t>de qualquer natureza</t>
    </r>
    <r>
      <rPr>
        <b/>
        <sz val="11"/>
        <rFont val="Calibri"/>
        <family val="2"/>
        <scheme val="minor"/>
      </rPr>
      <t xml:space="preserve">. </t>
    </r>
  </si>
  <si>
    <t>O horizonte de estabelecimento de metas deve ser compatível com o alcance da visão de futuro.</t>
  </si>
  <si>
    <t>2.2</t>
  </si>
  <si>
    <t xml:space="preserve">2.2 Implementação das estratégias </t>
  </si>
  <si>
    <t>2.2a</t>
  </si>
  <si>
    <t xml:space="preserve">a) Definição de mudanças </t>
  </si>
  <si>
    <r>
      <t xml:space="preserve">Tem os objetivos de </t>
    </r>
    <r>
      <rPr>
        <b/>
        <u/>
        <sz val="10"/>
        <color rgb="FF0070C0"/>
        <rFont val="Calibri"/>
        <family val="2"/>
        <scheme val="minor"/>
      </rPr>
      <t>identificar</t>
    </r>
    <r>
      <rPr>
        <b/>
        <sz val="10"/>
        <rFont val="Calibri"/>
        <family val="2"/>
        <scheme val="minor"/>
      </rPr>
      <t xml:space="preserve"> e </t>
    </r>
    <r>
      <rPr>
        <b/>
        <u/>
        <sz val="10"/>
        <rFont val="Calibri"/>
        <family val="2"/>
        <scheme val="minor"/>
      </rPr>
      <t>implementar</t>
    </r>
    <r>
      <rPr>
        <b/>
        <sz val="10"/>
        <rFont val="Calibri"/>
        <family val="2"/>
        <scheme val="minor"/>
      </rPr>
      <t xml:space="preserve"> as mudanças</t>
    </r>
    <r>
      <rPr>
        <b/>
        <sz val="10"/>
        <color rgb="FF0070C0"/>
        <rFont val="Calibri"/>
        <family val="2"/>
        <scheme val="minor"/>
      </rPr>
      <t>101</t>
    </r>
    <r>
      <rPr>
        <b/>
        <sz val="10"/>
        <rFont val="Calibri"/>
        <family val="2"/>
        <scheme val="minor"/>
      </rPr>
      <t xml:space="preserve"> necessárias para o êxito das </t>
    </r>
    <r>
      <rPr>
        <b/>
        <i/>
        <sz val="10"/>
        <rFont val="Calibri"/>
        <family val="2"/>
        <scheme val="minor"/>
      </rPr>
      <t>estratégias</t>
    </r>
    <r>
      <rPr>
        <b/>
        <sz val="10"/>
        <rFont val="Calibri"/>
        <family val="2"/>
        <scheme val="minor"/>
      </rPr>
      <t>, tanto nos processos quanto na gestão.</t>
    </r>
  </si>
  <si>
    <r>
      <t xml:space="preserve">Citar exemplo de mudança necessária, </t>
    </r>
    <r>
      <rPr>
        <b/>
        <sz val="11"/>
        <color rgb="FF0070C0"/>
        <rFont val="Calibri"/>
        <family val="2"/>
        <scheme val="minor"/>
      </rPr>
      <t>se houver, implantada ou em implantação,</t>
    </r>
    <r>
      <rPr>
        <b/>
        <sz val="11"/>
        <rFont val="Calibri"/>
        <family val="2"/>
        <scheme val="minor"/>
      </rPr>
      <t xml:space="preserve"> após ciclo de planejamento recente (3 anos).</t>
    </r>
  </si>
  <si>
    <t>A identificação de mudanças necessárias deve incluir as relacionadas à cultura organizacional.</t>
  </si>
  <si>
    <r>
      <t xml:space="preserve">As mudanças necessárias, nos </t>
    </r>
    <r>
      <rPr>
        <b/>
        <sz val="11"/>
        <color rgb="FF0070C0"/>
        <rFont val="Calibri"/>
        <family val="2"/>
        <scheme val="minor"/>
      </rPr>
      <t>processos</t>
    </r>
    <r>
      <rPr>
        <b/>
        <sz val="11"/>
        <rFont val="Calibri"/>
        <family val="2"/>
        <scheme val="minor"/>
      </rPr>
      <t xml:space="preserve"> primários, de suporte, suprimento, econômico-financeiros e </t>
    </r>
    <r>
      <rPr>
        <b/>
        <sz val="11"/>
        <color rgb="FF0070C0"/>
        <rFont val="Calibri"/>
        <family val="2"/>
        <scheme val="minor"/>
      </rPr>
      <t>de gestão</t>
    </r>
    <r>
      <rPr>
        <b/>
        <sz val="11"/>
        <rFont val="Calibri"/>
        <family val="2"/>
        <scheme val="minor"/>
      </rPr>
      <t xml:space="preserve">, para acomodar as </t>
    </r>
    <r>
      <rPr>
        <b/>
        <i/>
        <sz val="11"/>
        <rFont val="Calibri"/>
        <family val="2"/>
        <scheme val="minor"/>
      </rPr>
      <t>estratégias</t>
    </r>
    <r>
      <rPr>
        <b/>
        <sz val="11"/>
        <rFont val="Calibri"/>
        <family val="2"/>
        <scheme val="minor"/>
      </rPr>
      <t>, devem ser estabelecidas de forma participativa.</t>
    </r>
  </si>
  <si>
    <r>
      <t xml:space="preserve">As formas de superar as dificuldades, incluindo barreiras culturais, decorrentes das </t>
    </r>
    <r>
      <rPr>
        <b/>
        <i/>
        <sz val="11"/>
        <rFont val="Calibri"/>
        <family val="2"/>
        <scheme val="minor"/>
      </rPr>
      <t>estratégias</t>
    </r>
    <r>
      <rPr>
        <b/>
        <sz val="11"/>
        <rFont val="Calibri"/>
        <family val="2"/>
        <scheme val="minor"/>
      </rPr>
      <t xml:space="preserve"> formuladas devem ser analisadas e tratadas.</t>
    </r>
  </si>
  <si>
    <r>
      <t xml:space="preserve">As mudanças necessárias mais significativas devem incluir formas de comunicação adequadas, alcançando, quando pertinente, </t>
    </r>
    <r>
      <rPr>
        <b/>
        <sz val="11"/>
        <color rgb="FF0070C0"/>
        <rFont val="Calibri"/>
        <family val="2"/>
        <scheme val="minor"/>
      </rPr>
      <t xml:space="preserve">as partes </t>
    </r>
    <r>
      <rPr>
        <b/>
        <sz val="11"/>
        <rFont val="Calibri"/>
        <family val="2"/>
        <scheme val="minor"/>
      </rPr>
      <t>interessadas relevantes.</t>
    </r>
  </si>
  <si>
    <r>
      <t xml:space="preserve">Deve haver formas de avaliar se a implementação das mudanças necessárias foi eficaz em relação ao êxito das </t>
    </r>
    <r>
      <rPr>
        <b/>
        <i/>
        <sz val="11"/>
        <rFont val="Calibri"/>
        <family val="2"/>
        <scheme val="minor"/>
      </rPr>
      <t>estratégias</t>
    </r>
    <r>
      <rPr>
        <b/>
        <sz val="11"/>
        <rFont val="Calibri"/>
        <family val="2"/>
        <scheme val="minor"/>
      </rPr>
      <t>.</t>
    </r>
  </si>
  <si>
    <t>2.2b</t>
  </si>
  <si>
    <t xml:space="preserve">b) Desdobramento dos planos </t>
  </si>
  <si>
    <r>
      <t xml:space="preserve">Visa a </t>
    </r>
    <r>
      <rPr>
        <b/>
        <u/>
        <sz val="10"/>
        <rFont val="Calibri"/>
        <family val="2"/>
        <scheme val="minor"/>
      </rPr>
      <t>assegurar</t>
    </r>
    <r>
      <rPr>
        <b/>
        <sz val="10"/>
        <rFont val="Calibri"/>
        <family val="2"/>
        <scheme val="minor"/>
      </rPr>
      <t xml:space="preserve"> o desdobramento das metas e planos</t>
    </r>
    <r>
      <rPr>
        <b/>
        <sz val="10"/>
        <color rgb="FF0070C0"/>
        <rFont val="Calibri"/>
        <family val="2"/>
        <scheme val="minor"/>
      </rPr>
      <t xml:space="preserve">102 </t>
    </r>
    <r>
      <rPr>
        <b/>
        <sz val="10"/>
        <rFont val="Calibri"/>
        <family val="2"/>
        <scheme val="minor"/>
      </rPr>
      <t>estratégicos e mudanças necessárias para seu êxito, quando aplicável, de forma participativa, em metas e planos coerentes com as</t>
    </r>
    <r>
      <rPr>
        <b/>
        <i/>
        <sz val="10"/>
        <rFont val="Calibri"/>
        <family val="2"/>
        <scheme val="minor"/>
      </rPr>
      <t xml:space="preserve"> estratégias</t>
    </r>
    <r>
      <rPr>
        <b/>
        <sz val="10"/>
        <rFont val="Calibri"/>
        <family val="2"/>
        <scheme val="minor"/>
      </rPr>
      <t xml:space="preserve"> nos processos operacionais (primários, de suporte</t>
    </r>
    <r>
      <rPr>
        <b/>
        <sz val="10"/>
        <color rgb="FF0070C0"/>
        <rFont val="Calibri"/>
        <family val="2"/>
        <scheme val="minor"/>
      </rPr>
      <t>103</t>
    </r>
    <r>
      <rPr>
        <b/>
        <sz val="10"/>
        <rFont val="Calibri"/>
        <family val="2"/>
        <scheme val="minor"/>
      </rPr>
      <t xml:space="preserve">, de suprimento e econômico-financeiros), bem como nos processos de gestão </t>
    </r>
    <r>
      <rPr>
        <b/>
        <sz val="10"/>
        <color rgb="FF0070C0"/>
        <rFont val="Calibri"/>
        <family val="2"/>
        <scheme val="minor"/>
      </rPr>
      <t xml:space="preserve">e de </t>
    </r>
    <r>
      <rPr>
        <b/>
        <i/>
        <sz val="10"/>
        <color rgb="FF0070C0"/>
        <rFont val="Calibri"/>
        <family val="2"/>
        <scheme val="minor"/>
      </rPr>
      <t>partes interessadas</t>
    </r>
    <r>
      <rPr>
        <b/>
        <sz val="10"/>
        <color rgb="FF0070C0"/>
        <rFont val="Calibri"/>
        <family val="2"/>
        <scheme val="minor"/>
      </rPr>
      <t xml:space="preserve"> essenciais para o êxito das </t>
    </r>
    <r>
      <rPr>
        <b/>
        <i/>
        <sz val="10"/>
        <color rgb="FF0070C0"/>
        <rFont val="Calibri"/>
        <family val="2"/>
        <scheme val="minor"/>
      </rPr>
      <t>estratégias</t>
    </r>
    <r>
      <rPr>
        <b/>
        <sz val="10"/>
        <rFont val="Calibri"/>
        <family val="2"/>
        <scheme val="minor"/>
      </rPr>
      <t>.</t>
    </r>
  </si>
  <si>
    <r>
      <t xml:space="preserve">O desdobramento deve ser acompanhado de forma integrada pela </t>
    </r>
    <r>
      <rPr>
        <b/>
        <i/>
        <sz val="11"/>
        <rFont val="Calibri"/>
        <family val="2"/>
        <scheme val="minor"/>
      </rPr>
      <t>direção</t>
    </r>
    <r>
      <rPr>
        <b/>
        <sz val="11"/>
        <rFont val="Calibri"/>
        <family val="2"/>
        <scheme val="minor"/>
      </rPr>
      <t xml:space="preserve"> para assegurar que todos os processos potencialmente impactados pelas </t>
    </r>
    <r>
      <rPr>
        <b/>
        <i/>
        <sz val="11"/>
        <rFont val="Calibri"/>
        <family val="2"/>
        <scheme val="minor"/>
      </rPr>
      <t>estratégias</t>
    </r>
    <r>
      <rPr>
        <b/>
        <sz val="11"/>
        <rFont val="Calibri"/>
        <family val="2"/>
        <scheme val="minor"/>
      </rPr>
      <t xml:space="preserve"> sejam visitados.</t>
    </r>
  </si>
  <si>
    <r>
      <t xml:space="preserve">Os planos estratégicos </t>
    </r>
    <r>
      <rPr>
        <b/>
        <sz val="11"/>
        <color rgb="FF0070C0"/>
        <rFont val="Calibri"/>
        <family val="2"/>
        <scheme val="minor"/>
      </rPr>
      <t xml:space="preserve">e metas associadas </t>
    </r>
    <r>
      <rPr>
        <b/>
        <sz val="11"/>
        <rFont val="Calibri"/>
        <family val="2"/>
        <scheme val="minor"/>
      </rPr>
      <t xml:space="preserve">devem ser desdobrados para os </t>
    </r>
    <r>
      <rPr>
        <b/>
        <i/>
        <sz val="11"/>
        <rFont val="Calibri"/>
        <family val="2"/>
        <scheme val="minor"/>
      </rPr>
      <t>fornecedores</t>
    </r>
    <r>
      <rPr>
        <b/>
        <sz val="11"/>
        <rFont val="Calibri"/>
        <family val="2"/>
        <scheme val="minor"/>
      </rPr>
      <t xml:space="preserve">, quando aplicável, </t>
    </r>
    <r>
      <rPr>
        <b/>
        <sz val="11"/>
        <color rgb="FF0070C0"/>
        <rFont val="Calibri"/>
        <family val="2"/>
        <scheme val="minor"/>
      </rPr>
      <t>principalmente quando o trabalho destes influenciarem diretamente no cumprimento das metas</t>
    </r>
    <r>
      <rPr>
        <b/>
        <sz val="11"/>
        <rFont val="Calibri"/>
        <family val="2"/>
        <scheme val="minor"/>
      </rPr>
      <t>.</t>
    </r>
  </si>
  <si>
    <r>
      <t>A coerência</t>
    </r>
    <r>
      <rPr>
        <b/>
        <sz val="11"/>
        <color rgb="FF0070C0"/>
        <rFont val="Calibri"/>
        <family val="2"/>
        <scheme val="minor"/>
      </rPr>
      <t>104</t>
    </r>
    <r>
      <rPr>
        <b/>
        <sz val="11"/>
        <rFont val="Calibri"/>
        <family val="2"/>
        <scheme val="minor"/>
      </rPr>
      <t xml:space="preserve"> das metas e planos</t>
    </r>
    <r>
      <rPr>
        <b/>
        <sz val="11"/>
        <color rgb="FF0070C0"/>
        <rFont val="Calibri"/>
        <family val="2"/>
        <scheme val="minor"/>
      </rPr>
      <t>105</t>
    </r>
    <r>
      <rPr>
        <b/>
        <sz val="11"/>
        <rFont val="Calibri"/>
        <family val="2"/>
        <scheme val="minor"/>
      </rPr>
      <t xml:space="preserve"> dos diferentes processos com as </t>
    </r>
    <r>
      <rPr>
        <b/>
        <i/>
        <sz val="11"/>
        <rFont val="Calibri"/>
        <family val="2"/>
        <scheme val="minor"/>
      </rPr>
      <t>estratégias</t>
    </r>
    <r>
      <rPr>
        <b/>
        <sz val="11"/>
        <rFont val="Calibri"/>
        <family val="2"/>
        <scheme val="minor"/>
      </rPr>
      <t xml:space="preserve"> e também entre si deve ser verificada de forma participativa.</t>
    </r>
  </si>
  <si>
    <r>
      <t xml:space="preserve">A </t>
    </r>
    <r>
      <rPr>
        <b/>
        <i/>
        <sz val="11"/>
        <rFont val="Calibri"/>
        <family val="2"/>
        <scheme val="minor"/>
      </rPr>
      <t>direção</t>
    </r>
    <r>
      <rPr>
        <b/>
        <sz val="11"/>
        <rFont val="Calibri"/>
        <family val="2"/>
        <scheme val="minor"/>
      </rPr>
      <t xml:space="preserve"> deve assegurar a coerência entre os planos desdobrados das </t>
    </r>
    <r>
      <rPr>
        <b/>
        <i/>
        <sz val="11"/>
        <rFont val="Calibri"/>
        <family val="2"/>
        <scheme val="minor"/>
      </rPr>
      <t>estratégias</t>
    </r>
    <r>
      <rPr>
        <b/>
        <sz val="11"/>
        <rFont val="Calibri"/>
        <family val="2"/>
        <scheme val="minor"/>
      </rPr>
      <t xml:space="preserve"> e o orçamento.</t>
    </r>
  </si>
  <si>
    <t>Os responsáveis pelos planos devem ser alertados de compromissos vincendos.</t>
  </si>
  <si>
    <r>
      <t xml:space="preserve">As </t>
    </r>
    <r>
      <rPr>
        <b/>
        <i/>
        <sz val="11"/>
        <color rgb="FF0070C0"/>
        <rFont val="Calibri"/>
        <family val="2"/>
        <scheme val="minor"/>
      </rPr>
      <t>partes interessadas</t>
    </r>
    <r>
      <rPr>
        <b/>
        <sz val="11"/>
        <color rgb="FF0070C0"/>
        <rFont val="Calibri"/>
        <family val="2"/>
        <scheme val="minor"/>
      </rPr>
      <t xml:space="preserve"> essenciais para o êxito das </t>
    </r>
    <r>
      <rPr>
        <b/>
        <i/>
        <sz val="11"/>
        <color rgb="FF0070C0"/>
        <rFont val="Calibri"/>
        <family val="2"/>
        <scheme val="minor"/>
      </rPr>
      <t>estratégias</t>
    </r>
    <r>
      <rPr>
        <b/>
        <sz val="11"/>
        <color rgb="FF0070C0"/>
        <rFont val="Calibri"/>
        <family val="2"/>
        <scheme val="minor"/>
      </rPr>
      <t xml:space="preserve"> devem ser envolvidas no desdobramento de metas, planos e mudanças necessárias em seus processos.</t>
    </r>
  </si>
  <si>
    <t>2.3</t>
  </si>
  <si>
    <t>2.3 Análise de desempenho</t>
  </si>
  <si>
    <t>2.3a</t>
  </si>
  <si>
    <t xml:space="preserve">a) Medição e avaliação de resultados </t>
  </si>
  <si>
    <r>
      <t xml:space="preserve">Tem as finalidades de permitir </t>
    </r>
    <r>
      <rPr>
        <b/>
        <u/>
        <sz val="10"/>
        <rFont val="Calibri"/>
        <family val="2"/>
        <scheme val="minor"/>
      </rPr>
      <t>controlar</t>
    </r>
    <r>
      <rPr>
        <b/>
        <sz val="10"/>
        <color rgb="FF0070C0"/>
        <rFont val="Calibri"/>
        <family val="2"/>
        <scheme val="minor"/>
      </rPr>
      <t>106</t>
    </r>
    <r>
      <rPr>
        <b/>
        <sz val="10"/>
        <rFont val="Calibri"/>
        <family val="2"/>
        <scheme val="minor"/>
      </rPr>
      <t xml:space="preserve"> a evolução dos resultados do negócio, estratégicos e operacionais</t>
    </r>
    <r>
      <rPr>
        <b/>
        <sz val="10"/>
        <color rgb="FF0070C0"/>
        <rFont val="Calibri"/>
        <family val="2"/>
        <scheme val="minor"/>
      </rPr>
      <t>107</t>
    </r>
    <r>
      <rPr>
        <b/>
        <sz val="10"/>
        <rFont val="Calibri"/>
        <family val="2"/>
        <scheme val="minor"/>
      </rPr>
      <t xml:space="preserve">, </t>
    </r>
    <r>
      <rPr>
        <b/>
        <u/>
        <sz val="10"/>
        <rFont val="Calibri"/>
        <family val="2"/>
        <scheme val="minor"/>
      </rPr>
      <t>avaliar</t>
    </r>
    <r>
      <rPr>
        <b/>
        <sz val="10"/>
        <color rgb="FF0070C0"/>
        <rFont val="Calibri"/>
        <family val="2"/>
        <scheme val="minor"/>
      </rPr>
      <t>108</t>
    </r>
    <r>
      <rPr>
        <b/>
        <sz val="10"/>
        <rFont val="Calibri"/>
        <family val="2"/>
        <scheme val="minor"/>
      </rPr>
      <t xml:space="preserve"> o desempenho competitivo</t>
    </r>
    <r>
      <rPr>
        <b/>
        <sz val="10"/>
        <color rgb="FF0070C0"/>
        <rFont val="Calibri"/>
        <family val="2"/>
        <scheme val="minor"/>
      </rPr>
      <t>109</t>
    </r>
    <r>
      <rPr>
        <b/>
        <sz val="10"/>
        <rFont val="Calibri"/>
        <family val="2"/>
        <scheme val="minor"/>
      </rPr>
      <t xml:space="preserve"> da organização no mercado</t>
    </r>
    <r>
      <rPr>
        <b/>
        <sz val="10"/>
        <color rgb="FF0070C0"/>
        <rFont val="Calibri"/>
        <family val="2"/>
        <scheme val="minor"/>
      </rPr>
      <t>110</t>
    </r>
    <r>
      <rPr>
        <b/>
        <sz val="10"/>
        <rFont val="Calibri"/>
        <family val="2"/>
        <scheme val="minor"/>
      </rPr>
      <t xml:space="preserve"> ou </t>
    </r>
    <r>
      <rPr>
        <b/>
        <i/>
        <sz val="10"/>
        <rFont val="Calibri"/>
        <family val="2"/>
        <scheme val="minor"/>
      </rPr>
      <t>setor de atuação</t>
    </r>
    <r>
      <rPr>
        <b/>
        <sz val="10"/>
        <rFont val="Calibri"/>
        <family val="2"/>
        <scheme val="minor"/>
      </rPr>
      <t xml:space="preserve">, </t>
    </r>
    <r>
      <rPr>
        <b/>
        <u/>
        <sz val="10"/>
        <rFont val="Calibri"/>
        <family val="2"/>
        <scheme val="minor"/>
      </rPr>
      <t>verificar</t>
    </r>
    <r>
      <rPr>
        <b/>
        <sz val="10"/>
        <rFont val="Calibri"/>
        <family val="2"/>
        <scheme val="minor"/>
      </rPr>
      <t xml:space="preserve"> o atendimento a requisitos de </t>
    </r>
    <r>
      <rPr>
        <b/>
        <i/>
        <sz val="10"/>
        <rFont val="Calibri"/>
        <family val="2"/>
        <scheme val="minor"/>
      </rPr>
      <t>partes interessadas</t>
    </r>
    <r>
      <rPr>
        <b/>
        <sz val="10"/>
        <rFont val="Calibri"/>
        <family val="2"/>
        <scheme val="minor"/>
      </rPr>
      <t xml:space="preserve">, </t>
    </r>
    <r>
      <rPr>
        <b/>
        <u/>
        <sz val="10"/>
        <rFont val="Calibri"/>
        <family val="2"/>
        <scheme val="minor"/>
      </rPr>
      <t>estimular</t>
    </r>
    <r>
      <rPr>
        <b/>
        <sz val="10"/>
        <rFont val="Calibri"/>
        <family val="2"/>
        <scheme val="minor"/>
      </rPr>
      <t xml:space="preserve"> o comprometimento dos diversos níveis da estrutura de liderança com o alcance de metas e </t>
    </r>
    <r>
      <rPr>
        <b/>
        <u/>
        <sz val="10"/>
        <rFont val="Calibri"/>
        <family val="2"/>
        <scheme val="minor"/>
      </rPr>
      <t>promover</t>
    </r>
    <r>
      <rPr>
        <b/>
        <sz val="10"/>
        <rFont val="Calibri"/>
        <family val="2"/>
        <scheme val="minor"/>
      </rPr>
      <t xml:space="preserve"> ajustes de rumos, rebalanceamento de prioridades e recursos. </t>
    </r>
  </si>
  <si>
    <t>Informar os indicadores do negócio (N), estratégicos (E) e operacionais (O) com seus resultados no Critério 8.</t>
  </si>
  <si>
    <r>
      <t>As informações dos</t>
    </r>
    <r>
      <rPr>
        <b/>
        <i/>
        <sz val="11"/>
        <rFont val="Calibri"/>
        <family val="2"/>
        <scheme val="minor"/>
      </rPr>
      <t xml:space="preserve"> indicadores</t>
    </r>
    <r>
      <rPr>
        <b/>
        <sz val="11"/>
        <rFont val="Calibri"/>
        <family val="2"/>
        <scheme val="minor"/>
      </rPr>
      <t xml:space="preserve"> estratégicos e operacionais devem ser atualizadas </t>
    </r>
    <r>
      <rPr>
        <b/>
        <sz val="11"/>
        <color rgb="FF0070C0"/>
        <rFont val="Calibri"/>
        <family val="2"/>
        <scheme val="minor"/>
      </rPr>
      <t>tempestivamente</t>
    </r>
    <r>
      <rPr>
        <b/>
        <sz val="11"/>
        <rFont val="Calibri"/>
        <family val="2"/>
        <scheme val="minor"/>
      </rPr>
      <t>.</t>
    </r>
  </si>
  <si>
    <r>
      <t>O desempenho competitivo</t>
    </r>
    <r>
      <rPr>
        <b/>
        <sz val="11"/>
        <color rgb="FF0070C0"/>
        <rFont val="Calibri"/>
        <family val="2"/>
        <scheme val="minor"/>
      </rPr>
      <t>111</t>
    </r>
    <r>
      <rPr>
        <b/>
        <sz val="11"/>
        <rFont val="Calibri"/>
        <family val="2"/>
        <scheme val="minor"/>
      </rPr>
      <t xml:space="preserve"> e do atendimento aos requisitos</t>
    </r>
    <r>
      <rPr>
        <b/>
        <sz val="11"/>
        <color rgb="FF0070C0"/>
        <rFont val="Calibri"/>
        <family val="2"/>
        <scheme val="minor"/>
      </rPr>
      <t>112</t>
    </r>
    <r>
      <rPr>
        <b/>
        <sz val="11"/>
        <rFont val="Calibri"/>
        <family val="2"/>
        <scheme val="minor"/>
      </rPr>
      <t xml:space="preserve"> de </t>
    </r>
    <r>
      <rPr>
        <b/>
        <i/>
        <sz val="11"/>
        <rFont val="Calibri"/>
        <family val="2"/>
        <scheme val="minor"/>
      </rPr>
      <t>partes interessadas</t>
    </r>
    <r>
      <rPr>
        <b/>
        <sz val="11"/>
        <rFont val="Calibri"/>
        <family val="2"/>
        <scheme val="minor"/>
      </rPr>
      <t xml:space="preserve"> devem ser avaliados, para resultados:</t>
    </r>
  </si>
  <si>
    <r>
      <t>&gt;econômico</t>
    </r>
    <r>
      <rPr>
        <b/>
        <sz val="11"/>
        <color rgb="FF0070C0"/>
        <rFont val="Calibri"/>
        <family val="2"/>
        <scheme val="minor"/>
      </rPr>
      <t>-financeiros;</t>
    </r>
  </si>
  <si>
    <r>
      <t xml:space="preserve">&gt;de clientes </t>
    </r>
    <r>
      <rPr>
        <b/>
        <sz val="11"/>
        <color rgb="FF0070C0"/>
        <rFont val="Calibri"/>
        <family val="2"/>
        <scheme val="minor"/>
      </rPr>
      <t>e de mercado</t>
    </r>
    <r>
      <rPr>
        <b/>
        <sz val="11"/>
        <rFont val="Calibri"/>
        <family val="2"/>
        <scheme val="minor"/>
      </rPr>
      <t>;</t>
    </r>
  </si>
  <si>
    <t>&gt;de produtos e de processos.</t>
  </si>
  <si>
    <r>
      <t xml:space="preserve">Os resultados cujo desempenho competitivo precisa ser conhecido devem ser selecionados com participação da </t>
    </r>
    <r>
      <rPr>
        <b/>
        <i/>
        <sz val="11"/>
        <rFont val="Calibri"/>
        <family val="2"/>
        <scheme val="minor"/>
      </rPr>
      <t>direção</t>
    </r>
    <r>
      <rPr>
        <b/>
        <sz val="11"/>
        <rFont val="Calibri"/>
        <family val="2"/>
        <scheme val="minor"/>
      </rPr>
      <t>.</t>
    </r>
  </si>
  <si>
    <r>
      <t>Os critérios</t>
    </r>
    <r>
      <rPr>
        <b/>
        <sz val="11"/>
        <color rgb="FF0070C0"/>
        <rFont val="Calibri"/>
        <family val="2"/>
        <scheme val="minor"/>
      </rPr>
      <t>113</t>
    </r>
    <r>
      <rPr>
        <b/>
        <sz val="11"/>
        <rFont val="Calibri"/>
        <family val="2"/>
        <scheme val="minor"/>
      </rPr>
      <t xml:space="preserve"> de seleção de referenciais</t>
    </r>
    <r>
      <rPr>
        <b/>
        <sz val="11"/>
        <color rgb="FF0070C0"/>
        <rFont val="Calibri"/>
        <family val="2"/>
        <scheme val="minor"/>
      </rPr>
      <t>114</t>
    </r>
    <r>
      <rPr>
        <b/>
        <sz val="11"/>
        <rFont val="Calibri"/>
        <family val="2"/>
        <scheme val="minor"/>
      </rPr>
      <t xml:space="preserve"> comparativos para avaliação do desempenho competitivo devem ser estabelecidos com a participação da </t>
    </r>
    <r>
      <rPr>
        <b/>
        <i/>
        <sz val="11"/>
        <rFont val="Calibri"/>
        <family val="2"/>
        <scheme val="minor"/>
      </rPr>
      <t>direção</t>
    </r>
    <r>
      <rPr>
        <b/>
        <sz val="11"/>
        <rFont val="Calibri"/>
        <family val="2"/>
        <scheme val="minor"/>
      </rPr>
      <t>.</t>
    </r>
  </si>
  <si>
    <r>
      <t xml:space="preserve">O desempenho competitivo e do atendimento aos requisitos de </t>
    </r>
    <r>
      <rPr>
        <b/>
        <i/>
        <sz val="11"/>
        <rFont val="Calibri"/>
        <family val="2"/>
        <scheme val="minor"/>
      </rPr>
      <t>partes interessadas</t>
    </r>
    <r>
      <rPr>
        <b/>
        <sz val="11"/>
        <rFont val="Calibri"/>
        <family val="2"/>
        <scheme val="minor"/>
      </rPr>
      <t xml:space="preserve"> devem ser avaliados, para resultados:</t>
    </r>
  </si>
  <si>
    <t>&gt;de recursos hídricos, quando aplicável</t>
  </si>
  <si>
    <t>O desempenho competitivo e do atendimento aos requisitos de partes interessadas devem ser avaliados, para resultados:</t>
  </si>
  <si>
    <r>
      <t xml:space="preserve">&gt;de </t>
    </r>
    <r>
      <rPr>
        <b/>
        <i/>
        <sz val="11"/>
        <rFont val="Calibri"/>
        <family val="2"/>
        <scheme val="minor"/>
      </rPr>
      <t>ativos de infraestrutura operacional</t>
    </r>
    <r>
      <rPr>
        <b/>
        <sz val="11"/>
        <rFont val="Calibri"/>
        <family val="2"/>
        <scheme val="minor"/>
      </rPr>
      <t>, quando aplicável</t>
    </r>
  </si>
  <si>
    <r>
      <t xml:space="preserve">&gt;de </t>
    </r>
    <r>
      <rPr>
        <b/>
        <i/>
        <sz val="11"/>
        <rFont val="Calibri"/>
        <family val="2"/>
        <scheme val="minor"/>
      </rPr>
      <t>governança</t>
    </r>
  </si>
  <si>
    <r>
      <t xml:space="preserve">Os fatos relevantes atualizados, sobre o macroambiente, </t>
    </r>
    <r>
      <rPr>
        <b/>
        <i/>
        <sz val="11"/>
        <rFont val="Calibri"/>
        <family val="2"/>
        <scheme val="minor"/>
      </rPr>
      <t>setor de atuação</t>
    </r>
    <r>
      <rPr>
        <b/>
        <sz val="11"/>
        <rFont val="Calibri"/>
        <family val="2"/>
        <scheme val="minor"/>
      </rPr>
      <t xml:space="preserve"> e ambiente interno, devem ser compilados e atualizados </t>
    </r>
    <r>
      <rPr>
        <b/>
        <sz val="11"/>
        <color rgb="FF0070C0"/>
        <rFont val="Calibri"/>
        <family val="2"/>
        <scheme val="minor"/>
      </rPr>
      <t xml:space="preserve">tempestivamente </t>
    </r>
    <r>
      <rPr>
        <b/>
        <sz val="11"/>
        <rFont val="Calibri"/>
        <family val="2"/>
        <scheme val="minor"/>
      </rPr>
      <t>para contextualizar a análise dos resultados.</t>
    </r>
  </si>
  <si>
    <t>2.3b</t>
  </si>
  <si>
    <t>b) Avaliação de progresso</t>
  </si>
  <si>
    <r>
      <t xml:space="preserve">Visa a </t>
    </r>
    <r>
      <rPr>
        <b/>
        <u/>
        <sz val="10"/>
        <rFont val="Calibri"/>
        <family val="2"/>
        <scheme val="minor"/>
      </rPr>
      <t>analisar</t>
    </r>
    <r>
      <rPr>
        <b/>
        <sz val="10"/>
        <rFont val="Calibri"/>
        <family val="2"/>
        <scheme val="minor"/>
      </rPr>
      <t xml:space="preserve"> a evolução dos planos em consonância com os resultados do negócio, estratégicos e operacionais alcançados, </t>
    </r>
    <r>
      <rPr>
        <b/>
        <u/>
        <sz val="10"/>
        <rFont val="Calibri"/>
        <family val="2"/>
        <scheme val="minor"/>
      </rPr>
      <t>deliberar</t>
    </r>
    <r>
      <rPr>
        <b/>
        <sz val="10"/>
        <rFont val="Calibri"/>
        <family val="2"/>
        <scheme val="minor"/>
      </rPr>
      <t xml:space="preserve"> sobre as causas prováveis associadas a resultados adversos e </t>
    </r>
    <r>
      <rPr>
        <b/>
        <u/>
        <sz val="10"/>
        <rFont val="Calibri"/>
        <family val="2"/>
        <scheme val="minor"/>
      </rPr>
      <t>definir</t>
    </r>
    <r>
      <rPr>
        <b/>
        <sz val="10"/>
        <rFont val="Calibri"/>
        <family val="2"/>
        <scheme val="minor"/>
      </rPr>
      <t xml:space="preserve"> contramedidas. </t>
    </r>
  </si>
  <si>
    <r>
      <t xml:space="preserve">A </t>
    </r>
    <r>
      <rPr>
        <b/>
        <i/>
        <sz val="11"/>
        <rFont val="Calibri"/>
        <family val="2"/>
        <scheme val="minor"/>
      </rPr>
      <t>direção</t>
    </r>
    <r>
      <rPr>
        <b/>
        <sz val="11"/>
        <rFont val="Calibri"/>
        <family val="2"/>
        <scheme val="minor"/>
      </rPr>
      <t xml:space="preserve"> deve realizar o monitoramento integrado</t>
    </r>
    <r>
      <rPr>
        <b/>
        <sz val="11"/>
        <color rgb="FF0070C0"/>
        <rFont val="Calibri"/>
        <family val="2"/>
        <scheme val="minor"/>
      </rPr>
      <t>115</t>
    </r>
    <r>
      <rPr>
        <b/>
        <sz val="11"/>
        <rFont val="Calibri"/>
        <family val="2"/>
        <scheme val="minor"/>
      </rPr>
      <t xml:space="preserve"> dos planos, dos resultados dos </t>
    </r>
    <r>
      <rPr>
        <b/>
        <i/>
        <sz val="11"/>
        <rFont val="Calibri"/>
        <family val="2"/>
        <scheme val="minor"/>
      </rPr>
      <t>indicadores</t>
    </r>
    <r>
      <rPr>
        <b/>
        <i/>
        <sz val="11"/>
        <color rgb="FF0070C0"/>
        <rFont val="Calibri"/>
        <family val="2"/>
        <scheme val="minor"/>
      </rPr>
      <t>116</t>
    </r>
    <r>
      <rPr>
        <b/>
        <sz val="11"/>
        <rFont val="Calibri"/>
        <family val="2"/>
        <scheme val="minor"/>
      </rPr>
      <t xml:space="preserve"> do negócio e estratégicos, do alcance de metas e de eventuais contramedidas a resultados adversos.</t>
    </r>
  </si>
  <si>
    <r>
      <t xml:space="preserve">As causas prováveis dos resultados desfavoráveis revelados pelos </t>
    </r>
    <r>
      <rPr>
        <b/>
        <i/>
        <sz val="11"/>
        <rFont val="Calibri"/>
        <family val="2"/>
        <scheme val="minor"/>
      </rPr>
      <t>indicadores</t>
    </r>
    <r>
      <rPr>
        <b/>
        <sz val="11"/>
        <rFont val="Calibri"/>
        <family val="2"/>
        <scheme val="minor"/>
      </rPr>
      <t xml:space="preserve"> devem ser estudadas.</t>
    </r>
  </si>
  <si>
    <t xml:space="preserve">O potencial de alcance das metas estratégicas, de curto, médio ou longo prazo, à luz do progresso dos planos, deve ser avaliado. </t>
  </si>
  <si>
    <r>
      <t>Os resultados do negócio, estratégicos e operacionais a serem analisados devem ser pré-estabelecidos conforme a instância</t>
    </r>
    <r>
      <rPr>
        <b/>
        <sz val="11"/>
        <color rgb="FF0070C0"/>
        <rFont val="Calibri"/>
        <family val="2"/>
        <scheme val="minor"/>
      </rPr>
      <t>117</t>
    </r>
    <r>
      <rPr>
        <b/>
        <sz val="11"/>
        <rFont val="Calibri"/>
        <family val="2"/>
        <scheme val="minor"/>
      </rPr>
      <t xml:space="preserve"> decisória de avaliação.</t>
    </r>
  </si>
  <si>
    <r>
      <t>A avaliação dos resultados deve utilizar técnicas de análise agregada</t>
    </r>
    <r>
      <rPr>
        <b/>
        <sz val="11"/>
        <color rgb="FF0070C0"/>
        <rFont val="Calibri"/>
        <family val="2"/>
        <scheme val="minor"/>
      </rPr>
      <t>118</t>
    </r>
    <r>
      <rPr>
        <b/>
        <sz val="11"/>
        <rFont val="Calibri"/>
        <family val="2"/>
        <scheme val="minor"/>
      </rPr>
      <t xml:space="preserve"> e ferramentas de I.A. que permitam a percepção de correlações entre eles.</t>
    </r>
  </si>
  <si>
    <t>As contramedidas alternativas aos resultados desfavoráveis devem ser analisadas pelos responsáveis para apoiar a tomada de decisão.</t>
  </si>
  <si>
    <r>
      <t xml:space="preserve">As </t>
    </r>
    <r>
      <rPr>
        <b/>
        <i/>
        <sz val="11"/>
        <color rgb="FF0070C0"/>
        <rFont val="Calibri"/>
        <family val="2"/>
        <scheme val="minor"/>
      </rPr>
      <t>partes interessadas</t>
    </r>
    <r>
      <rPr>
        <b/>
        <sz val="11"/>
        <color rgb="FF0070C0"/>
        <rFont val="Calibri"/>
        <family val="2"/>
        <scheme val="minor"/>
      </rPr>
      <t xml:space="preserve"> envolvidas na implementação de planos estratégicos devem participar da avaliação de seu progresso.</t>
    </r>
  </si>
  <si>
    <r>
      <t xml:space="preserve">O desempenho da evolução dos resultados do negócio e estratégicos, da sua competitividade, do seu atendimento a requisitos de </t>
    </r>
    <r>
      <rPr>
        <b/>
        <i/>
        <sz val="11"/>
        <rFont val="Calibri"/>
        <family val="2"/>
        <scheme val="minor"/>
      </rPr>
      <t>partes interessadas</t>
    </r>
    <r>
      <rPr>
        <b/>
        <sz val="11"/>
        <rFont val="Calibri"/>
        <family val="2"/>
        <scheme val="minor"/>
      </rPr>
      <t xml:space="preserve"> e do seu potencial de alcance de metas devem ser avaliados por meio de </t>
    </r>
    <r>
      <rPr>
        <b/>
        <i/>
        <sz val="11"/>
        <rFont val="Calibri"/>
        <family val="2"/>
        <scheme val="minor"/>
      </rPr>
      <t>indicadores</t>
    </r>
    <r>
      <rPr>
        <b/>
        <sz val="11"/>
        <color rgb="FF0070C0"/>
        <rFont val="Calibri"/>
        <family val="2"/>
        <scheme val="minor"/>
      </rPr>
      <t>119</t>
    </r>
    <r>
      <rPr>
        <b/>
        <sz val="11"/>
        <rFont val="Calibri"/>
        <family val="2"/>
        <scheme val="minor"/>
      </rPr>
      <t>.</t>
    </r>
  </si>
  <si>
    <r>
      <t>O progresso</t>
    </r>
    <r>
      <rPr>
        <b/>
        <sz val="11"/>
        <color rgb="FF0070C0"/>
        <rFont val="Calibri"/>
        <family val="2"/>
        <scheme val="minor"/>
      </rPr>
      <t>120</t>
    </r>
    <r>
      <rPr>
        <b/>
        <sz val="11"/>
        <rFont val="Calibri"/>
        <family val="2"/>
        <scheme val="minor"/>
      </rPr>
      <t xml:space="preserve">  do conjunto de planos desdobrados das estratégias deve ser avaliado por meio de </t>
    </r>
    <r>
      <rPr>
        <b/>
        <i/>
        <sz val="11"/>
        <rFont val="Calibri"/>
        <family val="2"/>
        <scheme val="minor"/>
      </rPr>
      <t>indicador</t>
    </r>
    <r>
      <rPr>
        <b/>
        <sz val="11"/>
        <rFont val="Calibri"/>
        <family val="2"/>
        <scheme val="minor"/>
      </rPr>
      <t>.</t>
    </r>
  </si>
  <si>
    <r>
      <t xml:space="preserve">O engajamento com as </t>
    </r>
    <r>
      <rPr>
        <b/>
        <i/>
        <sz val="11"/>
        <rFont val="Calibri"/>
        <family val="2"/>
        <scheme val="minor"/>
      </rPr>
      <t>estratégias</t>
    </r>
    <r>
      <rPr>
        <b/>
        <sz val="11"/>
        <rFont val="Calibri"/>
        <family val="2"/>
        <scheme val="minor"/>
      </rPr>
      <t xml:space="preserve"> deve ser avaliado por meio de </t>
    </r>
    <r>
      <rPr>
        <b/>
        <i/>
        <sz val="11"/>
        <rFont val="Calibri"/>
        <family val="2"/>
        <scheme val="minor"/>
      </rPr>
      <t>indicador</t>
    </r>
    <r>
      <rPr>
        <b/>
        <sz val="11"/>
        <rFont val="Calibri"/>
        <family val="2"/>
        <scheme val="minor"/>
      </rPr>
      <t xml:space="preserve"> integrado de alcance</t>
    </r>
    <r>
      <rPr>
        <b/>
        <sz val="11"/>
        <color rgb="FF0070C0"/>
        <rFont val="Calibri"/>
        <family val="2"/>
        <scheme val="minor"/>
      </rPr>
      <t>121</t>
    </r>
    <r>
      <rPr>
        <b/>
        <sz val="11"/>
        <rFont val="Calibri"/>
        <family val="2"/>
        <scheme val="minor"/>
      </rPr>
      <t xml:space="preserve"> de metas.</t>
    </r>
  </si>
  <si>
    <t>3.</t>
  </si>
  <si>
    <t>CRITÉRIO 3 - CLIENTES</t>
  </si>
  <si>
    <t>Este Critério trata da gestão da atuação sustentável no mercado e da experiência sustentável promovida aos clientes da organização.</t>
  </si>
  <si>
    <t>3.1</t>
  </si>
  <si>
    <t>3.1 Mercado e atuação sustentável</t>
  </si>
  <si>
    <t>3.1a</t>
  </si>
  <si>
    <t xml:space="preserve">a) Estudo do mercado </t>
  </si>
  <si>
    <r>
      <t xml:space="preserve">Tem os objetivos de </t>
    </r>
    <r>
      <rPr>
        <b/>
        <u/>
        <sz val="10"/>
        <rFont val="Calibri"/>
        <family val="2"/>
        <scheme val="minor"/>
      </rPr>
      <t>compreender</t>
    </r>
    <r>
      <rPr>
        <b/>
        <sz val="10"/>
        <rFont val="Calibri"/>
        <family val="2"/>
        <scheme val="minor"/>
      </rPr>
      <t xml:space="preserve"> as principais variáveis que influenciam e que influenciarão na decisão de </t>
    </r>
    <r>
      <rPr>
        <b/>
        <i/>
        <sz val="10"/>
        <rFont val="Calibri"/>
        <family val="2"/>
        <scheme val="minor"/>
      </rPr>
      <t>clientes</t>
    </r>
    <r>
      <rPr>
        <b/>
        <sz val="10"/>
        <rFont val="Calibri"/>
        <family val="2"/>
        <scheme val="minor"/>
      </rPr>
      <t xml:space="preserve"> potenciais de usufruir, consumir ou adquirir </t>
    </r>
    <r>
      <rPr>
        <b/>
        <i/>
        <sz val="10"/>
        <rFont val="Calibri"/>
        <family val="2"/>
        <scheme val="minor"/>
      </rPr>
      <t>produtos</t>
    </r>
    <r>
      <rPr>
        <b/>
        <sz val="10"/>
        <rFont val="Calibri"/>
        <family val="2"/>
        <scheme val="minor"/>
      </rPr>
      <t xml:space="preserve"> da organização, da concorrência ou de tipo similar, bem como </t>
    </r>
    <r>
      <rPr>
        <b/>
        <u/>
        <sz val="10"/>
        <rFont val="Calibri"/>
        <family val="2"/>
        <scheme val="minor"/>
      </rPr>
      <t>viabilizar</t>
    </r>
    <r>
      <rPr>
        <b/>
        <sz val="10"/>
        <rFont val="Calibri"/>
        <family val="2"/>
        <scheme val="minor"/>
      </rPr>
      <t xml:space="preserve"> a segmentação do mercado</t>
    </r>
    <r>
      <rPr>
        <b/>
        <sz val="10"/>
        <color rgb="FF0070C0"/>
        <rFont val="Calibri"/>
        <family val="2"/>
        <scheme val="minor"/>
      </rPr>
      <t>125</t>
    </r>
    <r>
      <rPr>
        <b/>
        <sz val="10"/>
        <rFont val="Calibri"/>
        <family val="2"/>
        <scheme val="minor"/>
      </rPr>
      <t xml:space="preserve"> e </t>
    </r>
    <r>
      <rPr>
        <b/>
        <u/>
        <sz val="10"/>
        <rFont val="Calibri"/>
        <family val="2"/>
        <scheme val="minor"/>
      </rPr>
      <t>conhecer</t>
    </r>
    <r>
      <rPr>
        <b/>
        <sz val="10"/>
        <rFont val="Calibri"/>
        <family val="2"/>
        <scheme val="minor"/>
      </rPr>
      <t xml:space="preserve"> as vantagens próprias e dos competidores</t>
    </r>
    <r>
      <rPr>
        <b/>
        <sz val="10"/>
        <color rgb="FF0070C0"/>
        <rFont val="Calibri"/>
        <family val="2"/>
        <scheme val="minor"/>
      </rPr>
      <t>126</t>
    </r>
    <r>
      <rPr>
        <b/>
        <sz val="10"/>
        <rFont val="Calibri"/>
        <family val="2"/>
        <scheme val="minor"/>
      </rPr>
      <t xml:space="preserve"> nesses nichos.</t>
    </r>
  </si>
  <si>
    <t>3.1d</t>
  </si>
  <si>
    <t>Estudos de mercado devem considerar consumidores, atuais e potenciais, contemplados por programas sociais de políticas públicas.</t>
  </si>
  <si>
    <r>
      <t>Entre as variáveis estudadas devem estar as dificuldades</t>
    </r>
    <r>
      <rPr>
        <b/>
        <sz val="11"/>
        <color rgb="FF0070C0"/>
        <rFont val="Calibri"/>
        <family val="2"/>
        <scheme val="minor"/>
      </rPr>
      <t>127</t>
    </r>
    <r>
      <rPr>
        <b/>
        <sz val="11"/>
        <rFont val="Calibri"/>
        <family val="2"/>
        <scheme val="minor"/>
      </rPr>
      <t xml:space="preserve"> para os </t>
    </r>
    <r>
      <rPr>
        <b/>
        <i/>
        <sz val="11"/>
        <rFont val="Calibri"/>
        <family val="2"/>
        <scheme val="minor"/>
      </rPr>
      <t>clientes</t>
    </r>
    <r>
      <rPr>
        <b/>
        <sz val="11"/>
        <rFont val="Calibri"/>
        <family val="2"/>
        <scheme val="minor"/>
      </rPr>
      <t xml:space="preserve"> potenciais poderem usufruir de </t>
    </r>
    <r>
      <rPr>
        <b/>
        <i/>
        <sz val="11"/>
        <rFont val="Calibri"/>
        <family val="2"/>
        <scheme val="minor"/>
      </rPr>
      <t>produtos</t>
    </r>
    <r>
      <rPr>
        <b/>
        <sz val="11"/>
        <rFont val="Calibri"/>
        <family val="2"/>
        <scheme val="minor"/>
      </rPr>
      <t xml:space="preserve"> da organização em razão de limitações de qualquer natureza. </t>
    </r>
  </si>
  <si>
    <r>
      <t>As participações</t>
    </r>
    <r>
      <rPr>
        <b/>
        <sz val="11"/>
        <color rgb="FF0070C0"/>
        <rFont val="Calibri"/>
        <family val="2"/>
        <scheme val="minor"/>
      </rPr>
      <t>128</t>
    </r>
    <r>
      <rPr>
        <b/>
        <sz val="11"/>
        <rFont val="Calibri"/>
        <family val="2"/>
        <scheme val="minor"/>
      </rPr>
      <t xml:space="preserve"> no mercado, próprias e de principais concorrentes, devem ser acompanhadas por meio de </t>
    </r>
    <r>
      <rPr>
        <b/>
        <i/>
        <sz val="11"/>
        <rFont val="Calibri"/>
        <family val="2"/>
        <scheme val="minor"/>
      </rPr>
      <t>indicadores</t>
    </r>
    <r>
      <rPr>
        <b/>
        <sz val="11"/>
        <rFont val="Calibri"/>
        <family val="2"/>
        <scheme val="minor"/>
      </rPr>
      <t xml:space="preserve">. </t>
    </r>
  </si>
  <si>
    <r>
      <t xml:space="preserve">A predisposição do mercado em demandar </t>
    </r>
    <r>
      <rPr>
        <b/>
        <i/>
        <sz val="11"/>
        <rFont val="Calibri"/>
        <family val="2"/>
        <scheme val="minor"/>
      </rPr>
      <t>produtos</t>
    </r>
    <r>
      <rPr>
        <b/>
        <sz val="11"/>
        <rFont val="Calibri"/>
        <family val="2"/>
        <scheme val="minor"/>
      </rPr>
      <t xml:space="preserve"> sustentáveis e de preferir relacionar-se com organizações sustentáveis deve ser estudada para determinar diferentes tipos de oferta e de comunicação afirmativa para promoção da cultura do </t>
    </r>
    <r>
      <rPr>
        <b/>
        <i/>
        <sz val="11"/>
        <rFont val="Calibri"/>
        <family val="2"/>
        <scheme val="minor"/>
      </rPr>
      <t>desenvolvimento sustentável</t>
    </r>
    <r>
      <rPr>
        <b/>
        <sz val="11"/>
        <rFont val="Calibri"/>
        <family val="2"/>
        <scheme val="minor"/>
      </rPr>
      <t>.</t>
    </r>
  </si>
  <si>
    <t>3.1b</t>
  </si>
  <si>
    <t xml:space="preserve">b) Segmentação do mercado </t>
  </si>
  <si>
    <r>
      <t xml:space="preserve">Tem a finalidade de </t>
    </r>
    <r>
      <rPr>
        <b/>
        <u/>
        <sz val="10"/>
        <rFont val="Calibri"/>
        <family val="2"/>
        <scheme val="minor"/>
      </rPr>
      <t>particionar</t>
    </r>
    <r>
      <rPr>
        <b/>
        <sz val="10"/>
        <rFont val="Calibri"/>
        <family val="2"/>
        <scheme val="minor"/>
      </rPr>
      <t xml:space="preserve"> os mercados de atuação com base em características similares </t>
    </r>
    <r>
      <rPr>
        <b/>
        <sz val="10"/>
        <color rgb="FF0070C0"/>
        <rFont val="Calibri"/>
        <family val="2"/>
        <scheme val="minor"/>
      </rPr>
      <t>para permitir</t>
    </r>
    <r>
      <rPr>
        <b/>
        <sz val="10"/>
        <rFont val="Calibri"/>
        <family val="2"/>
        <scheme val="minor"/>
      </rPr>
      <t xml:space="preserve"> uma melhor adequação e oferta de soluções aos clientes, aumentando a eficiência do plano comercial ou de oferta, </t>
    </r>
    <r>
      <rPr>
        <b/>
        <sz val="10"/>
        <color rgb="FF0070C0"/>
        <rFont val="Calibri"/>
        <family val="2"/>
        <scheme val="minor"/>
      </rPr>
      <t xml:space="preserve">e de </t>
    </r>
    <r>
      <rPr>
        <b/>
        <u/>
        <sz val="10"/>
        <rFont val="Calibri"/>
        <family val="2"/>
        <scheme val="minor"/>
      </rPr>
      <t>acompanhar</t>
    </r>
    <r>
      <rPr>
        <b/>
        <sz val="10"/>
        <rFont val="Calibri"/>
        <family val="2"/>
        <scheme val="minor"/>
      </rPr>
      <t xml:space="preserve"> a participação nos segmentos. Quando aplicável ao perfil da organização, a segmentação</t>
    </r>
    <r>
      <rPr>
        <b/>
        <sz val="10"/>
        <color rgb="FF0070C0"/>
        <rFont val="Calibri"/>
        <family val="2"/>
        <scheme val="minor"/>
      </rPr>
      <t>129</t>
    </r>
    <r>
      <rPr>
        <b/>
        <sz val="10"/>
        <rFont val="Calibri"/>
        <family val="2"/>
        <scheme val="minor"/>
      </rPr>
      <t xml:space="preserve"> deve ser adotada considerando o mercado de concessões de serviços públicos e o mercado de consumidores desses serviços ou de alternativas concorrentes. </t>
    </r>
  </si>
  <si>
    <r>
      <rPr>
        <b/>
        <sz val="11"/>
        <color rgb="FF0070C0"/>
        <rFont val="Calibri"/>
        <family val="2"/>
        <scheme val="minor"/>
      </rPr>
      <t>Entre</t>
    </r>
    <r>
      <rPr>
        <b/>
        <sz val="11"/>
        <rFont val="Calibri"/>
        <family val="2"/>
        <scheme val="minor"/>
      </rPr>
      <t xml:space="preserve"> as características similares utilizadas para segmentação, </t>
    </r>
    <r>
      <rPr>
        <b/>
        <sz val="11"/>
        <color rgb="FF0070C0"/>
        <rFont val="Calibri"/>
        <family val="2"/>
        <scheme val="minor"/>
      </rPr>
      <t xml:space="preserve">para direcionar </t>
    </r>
    <r>
      <rPr>
        <b/>
        <sz val="11"/>
        <rFont val="Calibri"/>
        <family val="2"/>
        <scheme val="minor"/>
      </rPr>
      <t xml:space="preserve">diferentes técnicas de abordagem, devem ser considerados a predisposição do segmento, maior ou menor, em adquirir produtos sustentáveis e preferir relacionar-se com organizações sustentáveis, </t>
    </r>
    <r>
      <rPr>
        <b/>
        <sz val="11"/>
        <color rgb="FF0070C0"/>
        <rFont val="Calibri"/>
        <family val="2"/>
        <scheme val="minor"/>
      </rPr>
      <t>bem como os consumidores, atuais e potenciais, alcançados por programas sociais e políticas públicas</t>
    </r>
    <r>
      <rPr>
        <b/>
        <sz val="11"/>
        <rFont val="Calibri"/>
        <family val="2"/>
        <scheme val="minor"/>
      </rPr>
      <t>.</t>
    </r>
  </si>
  <si>
    <r>
      <t>As participações</t>
    </r>
    <r>
      <rPr>
        <b/>
        <sz val="11"/>
        <color rgb="FF0070C0"/>
        <rFont val="Calibri"/>
        <family val="2"/>
        <scheme val="minor"/>
      </rPr>
      <t xml:space="preserve">130 </t>
    </r>
    <r>
      <rPr>
        <b/>
        <sz val="11"/>
        <rFont val="Calibri"/>
        <family val="2"/>
        <scheme val="minor"/>
      </rPr>
      <t>nos principais segmentos, próprias e de principais concorrentes</t>
    </r>
    <r>
      <rPr>
        <b/>
        <sz val="11"/>
        <color rgb="FF0070C0"/>
        <rFont val="Calibri"/>
        <family val="2"/>
        <scheme val="minor"/>
      </rPr>
      <t>131</t>
    </r>
    <r>
      <rPr>
        <b/>
        <sz val="11"/>
        <rFont val="Calibri"/>
        <family val="2"/>
        <scheme val="minor"/>
      </rPr>
      <t>, devem ser acompanhadas por meio de</t>
    </r>
    <r>
      <rPr>
        <b/>
        <i/>
        <sz val="11"/>
        <rFont val="Calibri"/>
        <family val="2"/>
        <scheme val="minor"/>
      </rPr>
      <t xml:space="preserve"> indicadores</t>
    </r>
    <r>
      <rPr>
        <b/>
        <sz val="11"/>
        <rFont val="Calibri"/>
        <family val="2"/>
        <scheme val="minor"/>
      </rPr>
      <t>.</t>
    </r>
  </si>
  <si>
    <t>3.1c</t>
  </si>
  <si>
    <t xml:space="preserve">c) Definição dos clientes-alvo </t>
  </si>
  <si>
    <r>
      <t xml:space="preserve">Visa a </t>
    </r>
    <r>
      <rPr>
        <b/>
        <u/>
        <sz val="10"/>
        <rFont val="Calibri"/>
        <family val="2"/>
        <scheme val="minor"/>
      </rPr>
      <t>priorizar</t>
    </r>
    <r>
      <rPr>
        <b/>
        <sz val="10"/>
        <rFont val="Calibri"/>
        <family val="2"/>
        <scheme val="minor"/>
      </rPr>
      <t xml:space="preserve"> o esforço de colocação de </t>
    </r>
    <r>
      <rPr>
        <b/>
        <i/>
        <sz val="10"/>
        <rFont val="Calibri"/>
        <family val="2"/>
        <scheme val="minor"/>
      </rPr>
      <t>produtos</t>
    </r>
    <r>
      <rPr>
        <b/>
        <sz val="10"/>
        <rFont val="Calibri"/>
        <family val="2"/>
        <scheme val="minor"/>
      </rPr>
      <t xml:space="preserve">, dirigido a nichos específicos dos segmentos e </t>
    </r>
    <r>
      <rPr>
        <b/>
        <u/>
        <sz val="10"/>
        <rFont val="Calibri"/>
        <family val="2"/>
        <scheme val="minor"/>
      </rPr>
      <t>permitir</t>
    </r>
    <r>
      <rPr>
        <b/>
        <sz val="10"/>
        <rFont val="Calibri"/>
        <family val="2"/>
        <scheme val="minor"/>
      </rPr>
      <t xml:space="preserve"> uma adequação e oferta mais precisas de </t>
    </r>
    <r>
      <rPr>
        <b/>
        <i/>
        <sz val="10"/>
        <rFont val="Calibri"/>
        <family val="2"/>
        <scheme val="minor"/>
      </rPr>
      <t>produtos</t>
    </r>
    <r>
      <rPr>
        <b/>
        <sz val="10"/>
        <rFont val="Calibri"/>
        <family val="2"/>
        <scheme val="minor"/>
      </rPr>
      <t xml:space="preserve"> e soluções. </t>
    </r>
  </si>
  <si>
    <r>
      <t xml:space="preserve">Os principais </t>
    </r>
    <r>
      <rPr>
        <b/>
        <i/>
        <sz val="11"/>
        <rFont val="Calibri"/>
        <family val="2"/>
        <scheme val="minor"/>
      </rPr>
      <t>clientes-alvo</t>
    </r>
    <r>
      <rPr>
        <b/>
        <sz val="11"/>
        <rFont val="Calibri"/>
        <family val="2"/>
        <scheme val="minor"/>
      </rPr>
      <t xml:space="preserve"> devem ser informados no Perfil.</t>
    </r>
  </si>
  <si>
    <r>
      <t xml:space="preserve">A </t>
    </r>
    <r>
      <rPr>
        <b/>
        <sz val="11"/>
        <color rgb="FF0070C0"/>
        <rFont val="Calibri"/>
        <family val="2"/>
        <scheme val="minor"/>
      </rPr>
      <t>definição</t>
    </r>
    <r>
      <rPr>
        <b/>
        <sz val="11"/>
        <rFont val="Calibri"/>
        <family val="2"/>
        <scheme val="minor"/>
      </rPr>
      <t xml:space="preserve"> deve considerar critérios pré-definidos, </t>
    </r>
    <r>
      <rPr>
        <b/>
        <sz val="11"/>
        <color rgb="FF0070C0"/>
        <rFont val="Calibri"/>
        <family val="2"/>
        <scheme val="minor"/>
      </rPr>
      <t>coerentes com a segmentação de mercado e com as estratégias comerciais</t>
    </r>
    <r>
      <rPr>
        <b/>
        <sz val="11"/>
        <rFont val="Calibri"/>
        <family val="2"/>
        <scheme val="minor"/>
      </rPr>
      <t>.</t>
    </r>
  </si>
  <si>
    <t xml:space="preserve">d) Conhecimento sobre os clientes-alvo </t>
  </si>
  <si>
    <r>
      <t xml:space="preserve">Tem as finalidades de </t>
    </r>
    <r>
      <rPr>
        <b/>
        <u/>
        <sz val="10"/>
        <rFont val="Calibri"/>
        <family val="2"/>
        <scheme val="minor"/>
      </rPr>
      <t>conhecer</t>
    </r>
    <r>
      <rPr>
        <b/>
        <sz val="10"/>
        <rFont val="Calibri"/>
        <family val="2"/>
        <scheme val="minor"/>
      </rPr>
      <t xml:space="preserve"> as principais fases da jornada e as experiências relevantes que restringem, inclusive pela condição social, e levam à escolha do produto da organização </t>
    </r>
    <r>
      <rPr>
        <b/>
        <sz val="10"/>
        <color rgb="FF0070C0"/>
        <rFont val="Calibri"/>
        <family val="2"/>
        <scheme val="minor"/>
      </rPr>
      <t>pelos</t>
    </r>
    <r>
      <rPr>
        <b/>
        <sz val="10"/>
        <rFont val="Calibri"/>
        <family val="2"/>
        <scheme val="minor"/>
      </rPr>
      <t xml:space="preserve"> </t>
    </r>
    <r>
      <rPr>
        <b/>
        <i/>
        <sz val="10"/>
        <rFont val="Calibri"/>
        <family val="2"/>
        <scheme val="minor"/>
      </rPr>
      <t>clientes-alvo</t>
    </r>
    <r>
      <rPr>
        <b/>
        <sz val="10"/>
        <rFont val="Calibri"/>
        <family val="2"/>
        <scheme val="minor"/>
      </rPr>
      <t xml:space="preserve"> e eventuais intermediários </t>
    </r>
    <r>
      <rPr>
        <b/>
        <sz val="10"/>
        <color rgb="FF0070C0"/>
        <rFont val="Calibri"/>
        <family val="2"/>
        <scheme val="minor"/>
      </rPr>
      <t>e de</t>
    </r>
    <r>
      <rPr>
        <b/>
        <sz val="10"/>
        <rFont val="Calibri"/>
        <family val="2"/>
        <scheme val="minor"/>
      </rPr>
      <t xml:space="preserve"> </t>
    </r>
    <r>
      <rPr>
        <b/>
        <u/>
        <sz val="10"/>
        <rFont val="Calibri"/>
        <family val="2"/>
        <scheme val="minor"/>
      </rPr>
      <t>identificar</t>
    </r>
    <r>
      <rPr>
        <b/>
        <sz val="10"/>
        <rFont val="Calibri"/>
        <family val="2"/>
        <scheme val="minor"/>
      </rPr>
      <t xml:space="preserve"> as suas principais</t>
    </r>
    <r>
      <rPr>
        <b/>
        <sz val="10"/>
        <color rgb="FF0070C0"/>
        <rFont val="Calibri"/>
        <family val="2"/>
        <scheme val="minor"/>
      </rPr>
      <t>132</t>
    </r>
    <r>
      <rPr>
        <b/>
        <sz val="10"/>
        <rFont val="Calibri"/>
        <family val="2"/>
        <scheme val="minor"/>
      </rPr>
      <t xml:space="preserve"> necessidades, expectativas e predisposições, em constante evolução, que influenciam na sua preferência. </t>
    </r>
  </si>
  <si>
    <r>
      <t xml:space="preserve">O levantamento de informações deve incluir o estudo da capacidade operacional e financeira de os </t>
    </r>
    <r>
      <rPr>
        <b/>
        <i/>
        <sz val="11"/>
        <rFont val="Calibri"/>
        <family val="2"/>
        <scheme val="minor"/>
      </rPr>
      <t>clientes-alvo</t>
    </r>
    <r>
      <rPr>
        <b/>
        <sz val="11"/>
        <rFont val="Calibri"/>
        <family val="2"/>
        <scheme val="minor"/>
      </rPr>
      <t xml:space="preserve"> adquirirem ou se beneficiarem dos </t>
    </r>
    <r>
      <rPr>
        <b/>
        <i/>
        <sz val="11"/>
        <rFont val="Calibri"/>
        <family val="2"/>
        <scheme val="minor"/>
      </rPr>
      <t>produtos</t>
    </r>
    <r>
      <rPr>
        <b/>
        <sz val="11"/>
        <rFont val="Calibri"/>
        <family val="2"/>
        <scheme val="minor"/>
      </rPr>
      <t xml:space="preserve"> de forma sustentável, da existência de soluções alternativas e suas consequências boas ou ruins para a organização, para os clientes, para terceiros, para a sociedade e para o meio ambiente, e de experiências de organizações de dentro e fora do ramo ou em mercados mais desenvolvidos, para ampliar o conhecimento sobre os </t>
    </r>
    <r>
      <rPr>
        <b/>
        <i/>
        <sz val="11"/>
        <rFont val="Calibri"/>
        <family val="2"/>
        <scheme val="minor"/>
      </rPr>
      <t>clientes-alvo</t>
    </r>
    <r>
      <rPr>
        <b/>
        <sz val="11"/>
        <rFont val="Calibri"/>
        <family val="2"/>
        <scheme val="minor"/>
      </rPr>
      <t xml:space="preserve">.  </t>
    </r>
  </si>
  <si>
    <r>
      <t xml:space="preserve">O conhecimento sobre os </t>
    </r>
    <r>
      <rPr>
        <b/>
        <i/>
        <sz val="11"/>
        <rFont val="Calibri"/>
        <family val="2"/>
        <scheme val="minor"/>
      </rPr>
      <t>clientes-alvo</t>
    </r>
    <r>
      <rPr>
        <b/>
        <sz val="11"/>
        <rFont val="Calibri"/>
        <family val="2"/>
        <scheme val="minor"/>
      </rPr>
      <t xml:space="preserve"> deve considerar a atuação em rede</t>
    </r>
    <r>
      <rPr>
        <b/>
        <sz val="11"/>
        <color rgb="FF0070C0"/>
        <rFont val="Calibri"/>
        <family val="2"/>
        <scheme val="minor"/>
      </rPr>
      <t>133</t>
    </r>
    <r>
      <rPr>
        <b/>
        <sz val="11"/>
        <rFont val="Calibri"/>
        <family val="2"/>
        <scheme val="minor"/>
      </rPr>
      <t>.</t>
    </r>
  </si>
  <si>
    <r>
      <t xml:space="preserve">A predisposição dos </t>
    </r>
    <r>
      <rPr>
        <b/>
        <i/>
        <sz val="11"/>
        <rFont val="Calibri"/>
        <family val="2"/>
        <scheme val="minor"/>
      </rPr>
      <t>clientes-alvo</t>
    </r>
    <r>
      <rPr>
        <b/>
        <sz val="11"/>
        <rFont val="Calibri"/>
        <family val="2"/>
        <scheme val="minor"/>
      </rPr>
      <t xml:space="preserve"> em preferir produtos sustentáveis e se relacionar com organizações sustentáveis deve ser conhecida e utilizada para balizar a comunicação afirmativa nesse sentido. </t>
    </r>
  </si>
  <si>
    <t>3.1e</t>
  </si>
  <si>
    <t xml:space="preserve">e) Planejamento de experiências sustentáveis </t>
  </si>
  <si>
    <r>
      <t xml:space="preserve">Visa a </t>
    </r>
    <r>
      <rPr>
        <b/>
        <u/>
        <sz val="10"/>
        <rFont val="Calibri"/>
        <family val="2"/>
        <scheme val="minor"/>
      </rPr>
      <t>especificar</t>
    </r>
    <r>
      <rPr>
        <b/>
        <sz val="10"/>
        <rFont val="Calibri"/>
        <family val="2"/>
        <scheme val="minor"/>
      </rPr>
      <t xml:space="preserve"> </t>
    </r>
    <r>
      <rPr>
        <b/>
        <i/>
        <sz val="10"/>
        <rFont val="Calibri"/>
        <family val="2"/>
        <scheme val="minor"/>
      </rPr>
      <t>produtos</t>
    </r>
    <r>
      <rPr>
        <b/>
        <sz val="10"/>
        <rFont val="Calibri"/>
        <family val="2"/>
        <scheme val="minor"/>
      </rPr>
      <t xml:space="preserve"> mais atrativos às necessidades, expectativas e predisposições dos</t>
    </r>
    <r>
      <rPr>
        <b/>
        <i/>
        <sz val="10"/>
        <rFont val="Calibri"/>
        <family val="2"/>
        <scheme val="minor"/>
      </rPr>
      <t xml:space="preserve"> clientes-alvo</t>
    </r>
    <r>
      <rPr>
        <b/>
        <sz val="10"/>
        <rFont val="Calibri"/>
        <family val="2"/>
        <scheme val="minor"/>
      </rPr>
      <t xml:space="preserve"> e que contribuam, ao mesmo tempo, para o </t>
    </r>
    <r>
      <rPr>
        <b/>
        <i/>
        <sz val="10"/>
        <rFont val="Calibri"/>
        <family val="2"/>
        <scheme val="minor"/>
      </rPr>
      <t>desenvolvimento sustentável</t>
    </r>
    <r>
      <rPr>
        <b/>
        <sz val="10"/>
        <rFont val="Calibri"/>
        <family val="2"/>
        <scheme val="minor"/>
      </rPr>
      <t xml:space="preserve">. </t>
    </r>
  </si>
  <si>
    <r>
      <t xml:space="preserve">Citar uma característica dos </t>
    </r>
    <r>
      <rPr>
        <b/>
        <i/>
        <sz val="11"/>
        <rFont val="Calibri"/>
        <family val="2"/>
        <scheme val="minor"/>
      </rPr>
      <t>produtos</t>
    </r>
    <r>
      <rPr>
        <b/>
        <sz val="11"/>
        <rFont val="Calibri"/>
        <family val="2"/>
        <scheme val="minor"/>
      </rPr>
      <t xml:space="preserve"> que contribuem para o </t>
    </r>
    <r>
      <rPr>
        <b/>
        <i/>
        <sz val="11"/>
        <rFont val="Calibri"/>
        <family val="2"/>
        <scheme val="minor"/>
      </rPr>
      <t>desenvolvimento sustentável</t>
    </r>
    <r>
      <rPr>
        <b/>
        <sz val="11"/>
        <rFont val="Calibri"/>
        <family val="2"/>
        <scheme val="minor"/>
      </rPr>
      <t>.</t>
    </r>
  </si>
  <si>
    <r>
      <t xml:space="preserve">Citar mais uma característica dos </t>
    </r>
    <r>
      <rPr>
        <b/>
        <i/>
        <sz val="11"/>
        <rFont val="Calibri"/>
        <family val="2"/>
        <scheme val="minor"/>
      </rPr>
      <t>produtos</t>
    </r>
    <r>
      <rPr>
        <b/>
        <sz val="11"/>
        <rFont val="Calibri"/>
        <family val="2"/>
        <scheme val="minor"/>
      </rPr>
      <t xml:space="preserve"> que contribuem para o </t>
    </r>
    <r>
      <rPr>
        <b/>
        <i/>
        <sz val="11"/>
        <rFont val="Calibri"/>
        <family val="2"/>
        <scheme val="minor"/>
      </rPr>
      <t>desenvolvimento sustentável</t>
    </r>
    <r>
      <rPr>
        <b/>
        <sz val="11"/>
        <rFont val="Calibri"/>
        <family val="2"/>
        <scheme val="minor"/>
      </rPr>
      <t>.</t>
    </r>
  </si>
  <si>
    <r>
      <t xml:space="preserve">O planejamento deve traduzir as principais necessidades, expectativas e predisposições dos </t>
    </r>
    <r>
      <rPr>
        <b/>
        <i/>
        <sz val="11"/>
        <rFont val="Calibri"/>
        <family val="2"/>
        <scheme val="minor"/>
      </rPr>
      <t>clientes-alvo</t>
    </r>
    <r>
      <rPr>
        <b/>
        <sz val="11"/>
        <rFont val="Calibri"/>
        <family val="2"/>
        <scheme val="minor"/>
      </rPr>
      <t xml:space="preserve"> em requisitos de desempenho para o projeto</t>
    </r>
    <r>
      <rPr>
        <b/>
        <sz val="11"/>
        <color rgb="FF0070C0"/>
        <rFont val="Calibri"/>
        <family val="2"/>
        <scheme val="minor"/>
      </rPr>
      <t>134</t>
    </r>
    <r>
      <rPr>
        <b/>
        <sz val="11"/>
        <rFont val="Calibri"/>
        <family val="2"/>
        <scheme val="minor"/>
      </rPr>
      <t xml:space="preserve"> de </t>
    </r>
    <r>
      <rPr>
        <b/>
        <i/>
        <sz val="11"/>
        <rFont val="Calibri"/>
        <family val="2"/>
        <scheme val="minor"/>
      </rPr>
      <t>produtos</t>
    </r>
    <r>
      <rPr>
        <b/>
        <sz val="11"/>
        <rFont val="Calibri"/>
        <family val="2"/>
        <scheme val="minor"/>
      </rPr>
      <t xml:space="preserve"> e processos. </t>
    </r>
  </si>
  <si>
    <r>
      <t xml:space="preserve">As principais metas de atendimento de requisitos de desempenho </t>
    </r>
    <r>
      <rPr>
        <b/>
        <sz val="11"/>
        <color rgb="FF0070C0"/>
        <rFont val="Calibri"/>
        <family val="2"/>
        <scheme val="minor"/>
      </rPr>
      <t>relativos</t>
    </r>
    <r>
      <rPr>
        <b/>
        <sz val="11"/>
        <rFont val="Calibri"/>
        <family val="2"/>
        <scheme val="minor"/>
      </rPr>
      <t xml:space="preserve"> aos </t>
    </r>
    <r>
      <rPr>
        <b/>
        <i/>
        <sz val="11"/>
        <rFont val="Calibri"/>
        <family val="2"/>
        <scheme val="minor"/>
      </rPr>
      <t>clientes-alvo</t>
    </r>
    <r>
      <rPr>
        <b/>
        <sz val="11"/>
        <rFont val="Calibri"/>
        <family val="2"/>
        <scheme val="minor"/>
      </rPr>
      <t>, devem ser estabelecidas em contratos, acordos de nível de serviço com os clientes, por parâmetros regulatórios ou instrumentos equivalentes.</t>
    </r>
  </si>
  <si>
    <r>
      <t xml:space="preserve">O planejamento deve traduzir os principais interesses de atuação sustentável com os </t>
    </r>
    <r>
      <rPr>
        <b/>
        <i/>
        <sz val="11"/>
        <rFont val="Calibri"/>
        <family val="2"/>
        <scheme val="minor"/>
      </rPr>
      <t>clientes-alvo</t>
    </r>
    <r>
      <rPr>
        <b/>
        <sz val="11"/>
        <rFont val="Calibri"/>
        <family val="2"/>
        <scheme val="minor"/>
      </rPr>
      <t xml:space="preserve"> em requisitos de desempenho para o projeto de </t>
    </r>
    <r>
      <rPr>
        <b/>
        <i/>
        <sz val="11"/>
        <rFont val="Calibri"/>
        <family val="2"/>
        <scheme val="minor"/>
      </rPr>
      <t>produtos</t>
    </r>
    <r>
      <rPr>
        <b/>
        <sz val="11"/>
        <rFont val="Calibri"/>
        <family val="2"/>
        <scheme val="minor"/>
      </rPr>
      <t xml:space="preserve"> e processos. </t>
    </r>
  </si>
  <si>
    <r>
      <t xml:space="preserve">O atendimento a requisitos de desempenho relativos aos </t>
    </r>
    <r>
      <rPr>
        <b/>
        <i/>
        <sz val="11"/>
        <color rgb="FF0070C0"/>
        <rFont val="Calibri"/>
        <family val="2"/>
        <scheme val="minor"/>
      </rPr>
      <t>clientes-alvo</t>
    </r>
    <r>
      <rPr>
        <b/>
        <sz val="11"/>
        <color rgb="FF0070C0"/>
        <rFont val="Calibri"/>
        <family val="2"/>
        <scheme val="minor"/>
      </rPr>
      <t xml:space="preserve"> deve ser acompanhado por meio de </t>
    </r>
    <r>
      <rPr>
        <b/>
        <i/>
        <sz val="11"/>
        <color rgb="FF0070C0"/>
        <rFont val="Calibri"/>
        <family val="2"/>
        <scheme val="minor"/>
      </rPr>
      <t>indicadores</t>
    </r>
    <r>
      <rPr>
        <b/>
        <sz val="11"/>
        <color rgb="FF0070C0"/>
        <rFont val="Calibri"/>
        <family val="2"/>
        <scheme val="minor"/>
      </rPr>
      <t>.</t>
    </r>
  </si>
  <si>
    <t>3.1f</t>
  </si>
  <si>
    <t xml:space="preserve">f) Divulgação de produtos e características sustentáveis </t>
  </si>
  <si>
    <r>
      <t xml:space="preserve">Tem a finalidade de </t>
    </r>
    <r>
      <rPr>
        <b/>
        <u/>
        <sz val="10"/>
        <rFont val="Calibri"/>
        <family val="2"/>
        <scheme val="minor"/>
      </rPr>
      <t>despertar</t>
    </r>
    <r>
      <rPr>
        <b/>
        <sz val="10"/>
        <rFont val="Calibri"/>
        <family val="2"/>
        <scheme val="minor"/>
      </rPr>
      <t xml:space="preserve"> o interesse de </t>
    </r>
    <r>
      <rPr>
        <b/>
        <i/>
        <sz val="10"/>
        <rFont val="Calibri"/>
        <family val="2"/>
        <scheme val="minor"/>
      </rPr>
      <t>clientes-alvo</t>
    </r>
    <r>
      <rPr>
        <b/>
        <sz val="10"/>
        <rFont val="Calibri"/>
        <family val="2"/>
        <scheme val="minor"/>
      </rPr>
      <t xml:space="preserve"> por </t>
    </r>
    <r>
      <rPr>
        <b/>
        <i/>
        <sz val="10"/>
        <rFont val="Calibri"/>
        <family val="2"/>
        <scheme val="minor"/>
      </rPr>
      <t>produtos</t>
    </r>
    <r>
      <rPr>
        <b/>
        <sz val="10"/>
        <rFont val="Calibri"/>
        <family val="2"/>
        <scheme val="minor"/>
      </rPr>
      <t xml:space="preserve"> da organização que os atendam e que contribuam para o </t>
    </r>
    <r>
      <rPr>
        <b/>
        <i/>
        <sz val="10"/>
        <rFont val="Calibri"/>
        <family val="2"/>
        <scheme val="minor"/>
      </rPr>
      <t>desenvolvimento sustentável</t>
    </r>
    <r>
      <rPr>
        <b/>
        <sz val="10"/>
        <rFont val="Calibri"/>
        <family val="2"/>
        <scheme val="minor"/>
      </rPr>
      <t xml:space="preserve">. </t>
    </r>
  </si>
  <si>
    <r>
      <t xml:space="preserve">Exemplificar material de divulgação de principais </t>
    </r>
    <r>
      <rPr>
        <b/>
        <i/>
        <sz val="11"/>
        <rFont val="Calibri"/>
        <family val="2"/>
        <scheme val="minor"/>
      </rPr>
      <t>produtos</t>
    </r>
    <r>
      <rPr>
        <b/>
        <sz val="11"/>
        <rFont val="Calibri"/>
        <family val="2"/>
        <scheme val="minor"/>
      </rPr>
      <t>, que evidencie características sustentáveis.</t>
    </r>
  </si>
  <si>
    <r>
      <t xml:space="preserve">Os anúncios de </t>
    </r>
    <r>
      <rPr>
        <b/>
        <i/>
        <sz val="11"/>
        <rFont val="Calibri"/>
        <family val="2"/>
        <scheme val="minor"/>
      </rPr>
      <t>produtos</t>
    </r>
    <r>
      <rPr>
        <b/>
        <sz val="11"/>
        <rFont val="Calibri"/>
        <family val="2"/>
        <scheme val="minor"/>
      </rPr>
      <t xml:space="preserve"> ofertados devem ser verificados quanto à clareza.</t>
    </r>
  </si>
  <si>
    <r>
      <t xml:space="preserve">Os anúncios de </t>
    </r>
    <r>
      <rPr>
        <b/>
        <i/>
        <sz val="11"/>
        <rFont val="Calibri"/>
        <family val="2"/>
        <scheme val="minor"/>
      </rPr>
      <t>produtos</t>
    </r>
    <r>
      <rPr>
        <b/>
        <sz val="11"/>
        <rFont val="Calibri"/>
        <family val="2"/>
        <scheme val="minor"/>
      </rPr>
      <t xml:space="preserve"> ofertados devem incluir informações sobre o uso e descarte corretos e seguros</t>
    </r>
    <r>
      <rPr>
        <b/>
        <sz val="11"/>
        <color rgb="FF0070C0"/>
        <rFont val="Calibri"/>
        <family val="2"/>
        <scheme val="minor"/>
      </rPr>
      <t>135</t>
    </r>
    <r>
      <rPr>
        <b/>
        <sz val="11"/>
        <rFont val="Calibri"/>
        <family val="2"/>
        <scheme val="minor"/>
      </rPr>
      <t xml:space="preserve">  para as pessoas e para o meio ambiente. </t>
    </r>
  </si>
  <si>
    <r>
      <t xml:space="preserve">Os anúncios de </t>
    </r>
    <r>
      <rPr>
        <b/>
        <i/>
        <sz val="11"/>
        <rFont val="Calibri"/>
        <family val="2"/>
        <scheme val="minor"/>
      </rPr>
      <t>produtos</t>
    </r>
    <r>
      <rPr>
        <b/>
        <sz val="11"/>
        <rFont val="Calibri"/>
        <family val="2"/>
        <scheme val="minor"/>
      </rPr>
      <t xml:space="preserve"> ofertados devem ser verificados quanto à autenticidade de conteúdo.</t>
    </r>
  </si>
  <si>
    <r>
      <t xml:space="preserve">A divulgação deve despertar o interesse de </t>
    </r>
    <r>
      <rPr>
        <b/>
        <i/>
        <sz val="11"/>
        <rFont val="Calibri"/>
        <family val="2"/>
        <scheme val="minor"/>
      </rPr>
      <t>clientes-alvo</t>
    </r>
    <r>
      <rPr>
        <b/>
        <sz val="11"/>
        <rFont val="Calibri"/>
        <family val="2"/>
        <scheme val="minor"/>
      </rPr>
      <t xml:space="preserve"> por </t>
    </r>
    <r>
      <rPr>
        <b/>
        <i/>
        <sz val="11"/>
        <rFont val="Calibri"/>
        <family val="2"/>
        <scheme val="minor"/>
      </rPr>
      <t>produtos</t>
    </r>
    <r>
      <rPr>
        <b/>
        <sz val="11"/>
        <rFont val="Calibri"/>
        <family val="2"/>
        <scheme val="minor"/>
      </rPr>
      <t xml:space="preserve"> que contribuam de alguma forma para o </t>
    </r>
    <r>
      <rPr>
        <b/>
        <i/>
        <sz val="11"/>
        <rFont val="Calibri"/>
        <family val="2"/>
        <scheme val="minor"/>
      </rPr>
      <t>desenvolvimento sustentável</t>
    </r>
    <r>
      <rPr>
        <b/>
        <sz val="11"/>
        <rFont val="Calibri"/>
        <family val="2"/>
        <scheme val="minor"/>
      </rPr>
      <t xml:space="preserve"> em segmentos aplicáveis.</t>
    </r>
  </si>
  <si>
    <r>
      <t xml:space="preserve">O desempenho da divulgação dos </t>
    </r>
    <r>
      <rPr>
        <b/>
        <i/>
        <sz val="11"/>
        <rFont val="Calibri"/>
        <family val="2"/>
        <scheme val="minor"/>
      </rPr>
      <t>produtos</t>
    </r>
    <r>
      <rPr>
        <b/>
        <sz val="11"/>
        <rFont val="Calibri"/>
        <family val="2"/>
        <scheme val="minor"/>
      </rPr>
      <t xml:space="preserve"> deve ser avaliado por meio de </t>
    </r>
    <r>
      <rPr>
        <b/>
        <i/>
        <sz val="11"/>
        <rFont val="Calibri"/>
        <family val="2"/>
        <scheme val="minor"/>
      </rPr>
      <t>indicador</t>
    </r>
    <r>
      <rPr>
        <b/>
        <sz val="11"/>
        <rFont val="Calibri"/>
        <family val="2"/>
        <scheme val="minor"/>
      </rPr>
      <t>.</t>
    </r>
  </si>
  <si>
    <t>3.1g</t>
  </si>
  <si>
    <t xml:space="preserve">g) Desenvolvimento de marcas sustentáveis </t>
  </si>
  <si>
    <r>
      <t xml:space="preserve">Tem o propósito de </t>
    </r>
    <r>
      <rPr>
        <b/>
        <u/>
        <sz val="10"/>
        <rFont val="Calibri"/>
        <family val="2"/>
        <scheme val="minor"/>
      </rPr>
      <t>criar</t>
    </r>
    <r>
      <rPr>
        <b/>
        <sz val="10"/>
        <rFont val="Calibri"/>
        <family val="2"/>
        <scheme val="minor"/>
      </rPr>
      <t xml:space="preserve"> credibilidade, admiração, confiança, preferência e imagem positiva na organização e seus </t>
    </r>
    <r>
      <rPr>
        <b/>
        <i/>
        <sz val="10"/>
        <rFont val="Calibri"/>
        <family val="2"/>
        <scheme val="minor"/>
      </rPr>
      <t>produtos</t>
    </r>
    <r>
      <rPr>
        <b/>
        <sz val="10"/>
        <rFont val="Calibri"/>
        <family val="2"/>
        <scheme val="minor"/>
      </rPr>
      <t xml:space="preserve">, especialmente no mercado-alvo. </t>
    </r>
  </si>
  <si>
    <r>
      <t xml:space="preserve">Citar qual é o principal posicionamento pretendido pela organização no mercado </t>
    </r>
    <r>
      <rPr>
        <b/>
        <sz val="11"/>
        <color rgb="FF0070C0"/>
        <rFont val="Calibri"/>
        <family val="2"/>
        <scheme val="minor"/>
      </rPr>
      <t>e mencionar as principais ações para mantê-lo ou alcançá-lo</t>
    </r>
    <r>
      <rPr>
        <b/>
        <sz val="11"/>
        <rFont val="Calibri"/>
        <family val="2"/>
        <scheme val="minor"/>
      </rPr>
      <t>.</t>
    </r>
  </si>
  <si>
    <r>
      <t>As marcas</t>
    </r>
    <r>
      <rPr>
        <b/>
        <sz val="11"/>
        <color rgb="FF0070C0"/>
        <rFont val="Calibri"/>
        <family val="2"/>
        <scheme val="minor"/>
      </rPr>
      <t>136</t>
    </r>
    <r>
      <rPr>
        <b/>
        <sz val="11"/>
        <rFont val="Calibri"/>
        <family val="2"/>
        <scheme val="minor"/>
      </rPr>
      <t xml:space="preserve"> institucionais e de </t>
    </r>
    <r>
      <rPr>
        <b/>
        <i/>
        <sz val="11"/>
        <rFont val="Calibri"/>
        <family val="2"/>
        <scheme val="minor"/>
      </rPr>
      <t>produtos</t>
    </r>
    <r>
      <rPr>
        <b/>
        <sz val="11"/>
        <rFont val="Calibri"/>
        <family val="2"/>
        <scheme val="minor"/>
      </rPr>
      <t xml:space="preserve"> e sua reputação no mercado-alvo devem ser protegidas. </t>
    </r>
  </si>
  <si>
    <r>
      <t xml:space="preserve">A avaliação da reputação ou imagem pretendida (posicionamento) para a organização no mercado-alvo deve ser acompanhada por meio de </t>
    </r>
    <r>
      <rPr>
        <b/>
        <i/>
        <sz val="11"/>
        <rFont val="Calibri"/>
        <family val="2"/>
        <scheme val="minor"/>
      </rPr>
      <t>indicador</t>
    </r>
    <r>
      <rPr>
        <b/>
        <sz val="11"/>
        <rFont val="Calibri"/>
        <family val="2"/>
        <scheme val="minor"/>
      </rPr>
      <t>.</t>
    </r>
  </si>
  <si>
    <t xml:space="preserve">A proteção de marcas deve prevenir sua exposição em contextos impróprios137. </t>
  </si>
  <si>
    <r>
      <t xml:space="preserve">A avaliação da reputação ou imagem de organização sustentável no mercado-alvo, se não for o principal posicionamento pretendido, deve também ser acompanhada por meio de </t>
    </r>
    <r>
      <rPr>
        <b/>
        <i/>
        <sz val="11"/>
        <rFont val="Calibri"/>
        <family val="2"/>
        <scheme val="minor"/>
      </rPr>
      <t>indicador</t>
    </r>
    <r>
      <rPr>
        <b/>
        <sz val="11"/>
        <rFont val="Calibri"/>
        <family val="2"/>
        <scheme val="minor"/>
      </rPr>
      <t>.</t>
    </r>
  </si>
  <si>
    <t>3.2</t>
  </si>
  <si>
    <t xml:space="preserve">3.2 Experiência sustentável </t>
  </si>
  <si>
    <t>3.2a</t>
  </si>
  <si>
    <t xml:space="preserve">a) Responsividade aos clientes </t>
  </si>
  <si>
    <r>
      <t xml:space="preserve">Tem as finalidades de buscar </t>
    </r>
    <r>
      <rPr>
        <b/>
        <u/>
        <sz val="10"/>
        <rFont val="Calibri"/>
        <family val="2"/>
        <scheme val="minor"/>
      </rPr>
      <t>assegurar</t>
    </r>
    <r>
      <rPr>
        <b/>
        <sz val="10"/>
        <rFont val="Calibri"/>
        <family val="2"/>
        <scheme val="minor"/>
      </rPr>
      <t xml:space="preserve"> acesso fácil, ágil e objetivo pelos </t>
    </r>
    <r>
      <rPr>
        <b/>
        <i/>
        <sz val="10"/>
        <rFont val="Calibri"/>
        <family val="2"/>
        <scheme val="minor"/>
      </rPr>
      <t>clientes</t>
    </r>
    <r>
      <rPr>
        <b/>
        <sz val="10"/>
        <rFont val="Calibri"/>
        <family val="2"/>
        <scheme val="minor"/>
      </rPr>
      <t xml:space="preserve"> e eventuais intermediários para contratar </t>
    </r>
    <r>
      <rPr>
        <b/>
        <i/>
        <sz val="10"/>
        <rFont val="Calibri"/>
        <family val="2"/>
        <scheme val="minor"/>
      </rPr>
      <t xml:space="preserve">produtos, </t>
    </r>
    <r>
      <rPr>
        <b/>
        <sz val="10"/>
        <rFont val="Calibri"/>
        <family val="2"/>
        <scheme val="minor"/>
      </rPr>
      <t xml:space="preserve">manifestar-se em relação à sua experiência, solicitar informações e dar sugestões, e de </t>
    </r>
    <r>
      <rPr>
        <b/>
        <u/>
        <sz val="10"/>
        <rFont val="Calibri"/>
        <family val="2"/>
        <scheme val="minor"/>
      </rPr>
      <t>proporcionar</t>
    </r>
    <r>
      <rPr>
        <b/>
        <sz val="10"/>
        <rFont val="Calibri"/>
        <family val="2"/>
        <scheme val="minor"/>
      </rPr>
      <t xml:space="preserve"> respostas ágeis e resolutas e esclarecimentos concisos, aumentando a confiança na relação com a organização e seus profissionais. </t>
    </r>
  </si>
  <si>
    <r>
      <t xml:space="preserve">Apresentar os principais canais de manifestação disponibilizados aos </t>
    </r>
    <r>
      <rPr>
        <b/>
        <i/>
        <sz val="11"/>
        <rFont val="Calibri"/>
        <family val="2"/>
        <scheme val="minor"/>
      </rPr>
      <t>clientes</t>
    </r>
    <r>
      <rPr>
        <b/>
        <sz val="11"/>
        <rFont val="Calibri"/>
        <family val="2"/>
        <scheme val="minor"/>
      </rPr>
      <t>.</t>
    </r>
  </si>
  <si>
    <r>
      <t>O monitoramento dos canais de manifestação, a captação e registro de informações essenciais</t>
    </r>
    <r>
      <rPr>
        <b/>
        <sz val="11"/>
        <color rgb="FF0070C0"/>
        <rFont val="Calibri"/>
        <family val="2"/>
        <scheme val="minor"/>
      </rPr>
      <t>138</t>
    </r>
    <r>
      <rPr>
        <b/>
        <sz val="11"/>
        <rFont val="Calibri"/>
        <family val="2"/>
        <scheme val="minor"/>
      </rPr>
      <t xml:space="preserve"> das manifestações, a sua triagem, classificação e priorização harmônica</t>
    </r>
    <r>
      <rPr>
        <b/>
        <sz val="11"/>
        <color rgb="FF0070C0"/>
        <rFont val="Calibri"/>
        <family val="2"/>
        <scheme val="minor"/>
      </rPr>
      <t>139</t>
    </r>
    <r>
      <rPr>
        <b/>
        <sz val="11"/>
        <rFont val="Calibri"/>
        <family val="2"/>
        <scheme val="minor"/>
      </rPr>
      <t xml:space="preserve">, o acompanhamento de pendências e a atualização da plataforma de atendimento, devem fazer parte da responsividade ao </t>
    </r>
    <r>
      <rPr>
        <b/>
        <i/>
        <sz val="11"/>
        <rFont val="Calibri"/>
        <family val="2"/>
        <scheme val="minor"/>
      </rPr>
      <t>cliente</t>
    </r>
    <r>
      <rPr>
        <b/>
        <sz val="11"/>
        <rFont val="Calibri"/>
        <family val="2"/>
        <scheme val="minor"/>
      </rPr>
      <t xml:space="preserve">. </t>
    </r>
  </si>
  <si>
    <r>
      <t xml:space="preserve">As </t>
    </r>
    <r>
      <rPr>
        <b/>
        <i/>
        <sz val="11"/>
        <rFont val="Calibri"/>
        <family val="2"/>
        <scheme val="minor"/>
      </rPr>
      <t>mídias sociais</t>
    </r>
    <r>
      <rPr>
        <b/>
        <sz val="11"/>
        <rFont val="Calibri"/>
        <family val="2"/>
        <scheme val="minor"/>
      </rPr>
      <t xml:space="preserve"> devem ser integradas e compatibilizadas com outros canais de manifestação dos </t>
    </r>
    <r>
      <rPr>
        <b/>
        <i/>
        <sz val="11"/>
        <rFont val="Calibri"/>
        <family val="2"/>
        <scheme val="minor"/>
      </rPr>
      <t>clientes</t>
    </r>
    <r>
      <rPr>
        <b/>
        <sz val="11"/>
        <rFont val="Calibri"/>
        <family val="2"/>
        <scheme val="minor"/>
      </rPr>
      <t xml:space="preserve">. </t>
    </r>
  </si>
  <si>
    <r>
      <t xml:space="preserve">A contratação de produtos é realizada </t>
    </r>
    <r>
      <rPr>
        <b/>
        <sz val="11"/>
        <color rgb="FF0070C0"/>
        <rFont val="Calibri"/>
        <family val="2"/>
        <scheme val="minor"/>
      </rPr>
      <t>de forma tempestiva140</t>
    </r>
    <r>
      <rPr>
        <b/>
        <sz val="11"/>
        <rFont val="Calibri"/>
        <family val="2"/>
        <scheme val="minor"/>
      </rPr>
      <t xml:space="preserve"> e com base em especificações verificadas</t>
    </r>
    <r>
      <rPr>
        <b/>
        <sz val="11"/>
        <color rgb="FF0070C0"/>
        <rFont val="Calibri"/>
        <family val="2"/>
        <scheme val="minor"/>
      </rPr>
      <t>141</t>
    </r>
    <r>
      <rPr>
        <b/>
        <sz val="11"/>
        <rFont val="Calibri"/>
        <family val="2"/>
        <scheme val="minor"/>
      </rPr>
      <t xml:space="preserve"> previamente quanto à autenticidade e clareza de conteúdo e anuídas pelas partes.</t>
    </r>
  </si>
  <si>
    <r>
      <t xml:space="preserve">O retorno de tentativas de contato frustradas, interrompidas ou perdidas, </t>
    </r>
    <r>
      <rPr>
        <b/>
        <sz val="11"/>
        <color rgb="FF0070C0"/>
        <rFont val="Calibri"/>
        <family val="2"/>
        <scheme val="minor"/>
      </rPr>
      <t>incluindo as eventualmente tratadas por robôs</t>
    </r>
    <r>
      <rPr>
        <b/>
        <sz val="11"/>
        <rFont val="Calibri"/>
        <family val="2"/>
        <scheme val="minor"/>
      </rPr>
      <t xml:space="preserve">, devem fazer parte da responsividade ao </t>
    </r>
    <r>
      <rPr>
        <b/>
        <i/>
        <sz val="11"/>
        <rFont val="Calibri"/>
        <family val="2"/>
        <scheme val="minor"/>
      </rPr>
      <t>cliente</t>
    </r>
    <r>
      <rPr>
        <b/>
        <sz val="11"/>
        <rFont val="Calibri"/>
        <family val="2"/>
        <scheme val="minor"/>
      </rPr>
      <t xml:space="preserve">. </t>
    </r>
  </si>
  <si>
    <r>
      <t xml:space="preserve">Os sítios ou órgãos oficiais ou populares de captação de manifestações adversas de consumidores devem ser integrados e compatibilizados com outros canais de manifestação dos </t>
    </r>
    <r>
      <rPr>
        <b/>
        <i/>
        <sz val="11"/>
        <rFont val="Calibri"/>
        <family val="2"/>
        <scheme val="minor"/>
      </rPr>
      <t>clientes</t>
    </r>
    <r>
      <rPr>
        <b/>
        <sz val="11"/>
        <rFont val="Calibri"/>
        <family val="2"/>
        <scheme val="minor"/>
      </rPr>
      <t>.</t>
    </r>
  </si>
  <si>
    <r>
      <rPr>
        <b/>
        <sz val="11"/>
        <color rgb="FF0070C0"/>
        <rFont val="Calibri"/>
        <family val="2"/>
        <scheme val="minor"/>
      </rPr>
      <t>A atribuição de prioridades</t>
    </r>
    <r>
      <rPr>
        <b/>
        <sz val="11"/>
        <rFont val="Calibri"/>
        <family val="2"/>
        <scheme val="minor"/>
      </rPr>
      <t xml:space="preserve"> das manifestações deve ser realizada com base em critérios. </t>
    </r>
  </si>
  <si>
    <r>
      <rPr>
        <b/>
        <sz val="11"/>
        <color rgb="FF0070C0"/>
        <rFont val="Calibri"/>
        <family val="2"/>
        <scheme val="minor"/>
      </rPr>
      <t>A adaptação da</t>
    </r>
    <r>
      <rPr>
        <b/>
        <sz val="11"/>
        <rFont val="Calibri"/>
        <family val="2"/>
        <scheme val="minor"/>
      </rPr>
      <t xml:space="preserve"> plataforma de atendimento para pessoas com deficiência atenderem ou serem atendidas deve fazer parte da responsividade da organização sustentável.</t>
    </r>
  </si>
  <si>
    <r>
      <t xml:space="preserve">O registro de manifestações adversas informais, a identificação de reincidências no manifestante e o monitoramento devem fazer parte da responsividade ao </t>
    </r>
    <r>
      <rPr>
        <b/>
        <i/>
        <sz val="11"/>
        <rFont val="Calibri"/>
        <family val="2"/>
        <scheme val="minor"/>
      </rPr>
      <t>cliente</t>
    </r>
    <r>
      <rPr>
        <b/>
        <sz val="11"/>
        <rFont val="Calibri"/>
        <family val="2"/>
        <scheme val="minor"/>
      </rPr>
      <t>.</t>
    </r>
  </si>
  <si>
    <r>
      <t xml:space="preserve">A avaliação dos canais de manifestação e da responsividade das manifestações do </t>
    </r>
    <r>
      <rPr>
        <b/>
        <i/>
        <sz val="11"/>
        <rFont val="Calibri"/>
        <family val="2"/>
        <scheme val="minor"/>
      </rPr>
      <t>cliente</t>
    </r>
    <r>
      <rPr>
        <b/>
        <sz val="11"/>
        <rFont val="Calibri"/>
        <family val="2"/>
        <scheme val="minor"/>
      </rPr>
      <t xml:space="preserve"> e eventuais intermediários deve ser acompanhada por meio de </t>
    </r>
    <r>
      <rPr>
        <b/>
        <i/>
        <sz val="11"/>
        <rFont val="Calibri"/>
        <family val="2"/>
        <scheme val="minor"/>
      </rPr>
      <t>indicador</t>
    </r>
    <r>
      <rPr>
        <b/>
        <sz val="11"/>
        <rFont val="Calibri"/>
        <family val="2"/>
        <scheme val="minor"/>
      </rPr>
      <t>.</t>
    </r>
  </si>
  <si>
    <r>
      <rPr>
        <b/>
        <sz val="11"/>
        <color rgb="FF0070C0"/>
        <rFont val="Calibri"/>
        <family val="2"/>
        <scheme val="minor"/>
      </rPr>
      <t xml:space="preserve">As manifestações </t>
    </r>
    <r>
      <rPr>
        <b/>
        <sz val="11"/>
        <rFont val="Calibri"/>
        <family val="2"/>
        <scheme val="minor"/>
      </rPr>
      <t xml:space="preserve">adversas de </t>
    </r>
    <r>
      <rPr>
        <b/>
        <i/>
        <sz val="11"/>
        <rFont val="Calibri"/>
        <family val="2"/>
        <scheme val="minor"/>
      </rPr>
      <t>clientes</t>
    </r>
    <r>
      <rPr>
        <b/>
        <sz val="11"/>
        <rFont val="Calibri"/>
        <family val="2"/>
        <scheme val="minor"/>
      </rPr>
      <t xml:space="preserve">, confirmadas com alta prioridade e as relativas à atuação socioambiental, devem ser alertadas para a </t>
    </r>
    <r>
      <rPr>
        <b/>
        <i/>
        <sz val="11"/>
        <rFont val="Calibri"/>
        <family val="2"/>
        <scheme val="minor"/>
      </rPr>
      <t>direção</t>
    </r>
    <r>
      <rPr>
        <b/>
        <sz val="11"/>
        <rFont val="Calibri"/>
        <family val="2"/>
        <scheme val="minor"/>
      </rPr>
      <t>.</t>
    </r>
  </si>
  <si>
    <t>Os critérios de atribuição de prioridades devem incluir a confirmação de pertinência, por instância gestora, para as manifestações classificadas com alta prioridade na captação.</t>
  </si>
  <si>
    <t>3.2b</t>
  </si>
  <si>
    <t xml:space="preserve">b) Resolutividade de manifestações </t>
  </si>
  <si>
    <r>
      <t xml:space="preserve">Tem os objetivos de </t>
    </r>
    <r>
      <rPr>
        <b/>
        <u/>
        <sz val="10"/>
        <rFont val="Calibri"/>
        <family val="2"/>
        <scheme val="minor"/>
      </rPr>
      <t>endereçar</t>
    </r>
    <r>
      <rPr>
        <b/>
        <sz val="10"/>
        <rFont val="Calibri"/>
        <family val="2"/>
        <scheme val="minor"/>
      </rPr>
      <t xml:space="preserve">, </t>
    </r>
    <r>
      <rPr>
        <b/>
        <u/>
        <sz val="10"/>
        <rFont val="Calibri"/>
        <family val="2"/>
        <scheme val="minor"/>
      </rPr>
      <t>solucionar</t>
    </r>
    <r>
      <rPr>
        <b/>
        <sz val="10"/>
        <rFont val="Calibri"/>
        <family val="2"/>
        <scheme val="minor"/>
      </rPr>
      <t xml:space="preserve">, </t>
    </r>
    <r>
      <rPr>
        <b/>
        <u/>
        <sz val="10"/>
        <rFont val="Calibri"/>
        <family val="2"/>
        <scheme val="minor"/>
      </rPr>
      <t>esclarecer</t>
    </r>
    <r>
      <rPr>
        <b/>
        <sz val="10"/>
        <rFont val="Calibri"/>
        <family val="2"/>
        <scheme val="minor"/>
      </rPr>
      <t xml:space="preserve"> e </t>
    </r>
    <r>
      <rPr>
        <b/>
        <u/>
        <sz val="10"/>
        <rFont val="Calibri"/>
        <family val="2"/>
        <scheme val="minor"/>
      </rPr>
      <t>dar retorno</t>
    </r>
    <r>
      <rPr>
        <b/>
        <sz val="10"/>
        <rFont val="Calibri"/>
        <family val="2"/>
        <scheme val="minor"/>
      </rPr>
      <t xml:space="preserve"> ou possibilitar acompanhamento da situação das manifestações recebidas dos </t>
    </r>
    <r>
      <rPr>
        <b/>
        <i/>
        <sz val="10"/>
        <rFont val="Calibri"/>
        <family val="2"/>
        <scheme val="minor"/>
      </rPr>
      <t>clientes</t>
    </r>
    <r>
      <rPr>
        <b/>
        <sz val="10"/>
        <rFont val="Calibri"/>
        <family val="2"/>
        <scheme val="minor"/>
      </rPr>
      <t xml:space="preserve"> e ações associadas, corretivas e preventivas, com agilidade compatível com a classificação e prioridade. </t>
    </r>
  </si>
  <si>
    <r>
      <t xml:space="preserve">Citar qual é o teor das reclamações mais frequentes de </t>
    </r>
    <r>
      <rPr>
        <b/>
        <i/>
        <sz val="11"/>
        <rFont val="Calibri"/>
        <family val="2"/>
        <scheme val="minor"/>
      </rPr>
      <t>clientes</t>
    </r>
    <r>
      <rPr>
        <b/>
        <sz val="11"/>
        <rFont val="Calibri"/>
        <family val="2"/>
        <scheme val="minor"/>
      </rPr>
      <t>, a principal causa raiz e o que está sendo feito.</t>
    </r>
  </si>
  <si>
    <t>A verificação das manifestações potencialmente similares, a análise e tratamento de causas raízes, as ações decorrentes e seu acompanhamento e a notificação às áreas envolvidas e eventuais parceiros devem fazer parte da resolutividade.</t>
  </si>
  <si>
    <t>As reincidências de manifestações adversas devem ser monitoradas e as causas raízes tratadas.</t>
  </si>
  <si>
    <r>
      <t xml:space="preserve">A avaliação da resolutividade das manifestações adversas dos </t>
    </r>
    <r>
      <rPr>
        <b/>
        <i/>
        <sz val="11"/>
        <rFont val="Calibri"/>
        <family val="2"/>
        <scheme val="minor"/>
      </rPr>
      <t>clientes</t>
    </r>
    <r>
      <rPr>
        <b/>
        <sz val="11"/>
        <rFont val="Calibri"/>
        <family val="2"/>
        <scheme val="minor"/>
      </rPr>
      <t xml:space="preserve"> e eventuais intermediários deve ser acompanhada por meio de </t>
    </r>
    <r>
      <rPr>
        <b/>
        <i/>
        <sz val="11"/>
        <rFont val="Calibri"/>
        <family val="2"/>
        <scheme val="minor"/>
      </rPr>
      <t>indicador</t>
    </r>
    <r>
      <rPr>
        <b/>
        <sz val="11"/>
        <rFont val="Calibri"/>
        <family val="2"/>
        <scheme val="minor"/>
      </rPr>
      <t>.</t>
    </r>
  </si>
  <si>
    <r>
      <t xml:space="preserve">A situação das ações associadas a manifestações adversas com maior reincidência deve ser reportada ou acompanhada pela </t>
    </r>
    <r>
      <rPr>
        <b/>
        <i/>
        <sz val="11"/>
        <rFont val="Calibri"/>
        <family val="2"/>
        <scheme val="minor"/>
      </rPr>
      <t>direção</t>
    </r>
    <r>
      <rPr>
        <b/>
        <sz val="11"/>
        <rFont val="Calibri"/>
        <family val="2"/>
        <scheme val="minor"/>
      </rPr>
      <t>.</t>
    </r>
  </si>
  <si>
    <r>
      <t xml:space="preserve">A situação das ações associadas a manifestações sobre impactos socioambientais adversos deve ser reportada ou acompanhada pela </t>
    </r>
    <r>
      <rPr>
        <b/>
        <i/>
        <sz val="11"/>
        <rFont val="Calibri"/>
        <family val="2"/>
        <scheme val="minor"/>
      </rPr>
      <t>direção</t>
    </r>
    <r>
      <rPr>
        <b/>
        <sz val="11"/>
        <rFont val="Calibri"/>
        <family val="2"/>
        <scheme val="minor"/>
      </rPr>
      <t>.</t>
    </r>
  </si>
  <si>
    <t>3.2c</t>
  </si>
  <si>
    <t xml:space="preserve">c) Avaliação da experiência do cliente </t>
  </si>
  <si>
    <r>
      <t xml:space="preserve">Visa a </t>
    </r>
    <r>
      <rPr>
        <b/>
        <u/>
        <sz val="10"/>
        <rFont val="Calibri"/>
        <family val="2"/>
        <scheme val="minor"/>
      </rPr>
      <t>conhecer</t>
    </r>
    <r>
      <rPr>
        <b/>
        <sz val="10"/>
        <rFont val="Calibri"/>
        <family val="2"/>
        <scheme val="minor"/>
      </rPr>
      <t xml:space="preserve"> a percepção dos </t>
    </r>
    <r>
      <rPr>
        <b/>
        <i/>
        <sz val="10"/>
        <rFont val="Calibri"/>
        <family val="2"/>
        <scheme val="minor"/>
      </rPr>
      <t>clientes</t>
    </r>
    <r>
      <rPr>
        <b/>
        <sz val="10"/>
        <rFont val="Calibri"/>
        <family val="2"/>
        <scheme val="minor"/>
      </rPr>
      <t xml:space="preserve"> e eventuais intermediários quanto à sua experiência com a organização e os </t>
    </r>
    <r>
      <rPr>
        <b/>
        <i/>
        <sz val="10"/>
        <rFont val="Calibri"/>
        <family val="2"/>
        <scheme val="minor"/>
      </rPr>
      <t>produtos</t>
    </r>
    <r>
      <rPr>
        <b/>
        <sz val="10"/>
        <rFont val="Calibri"/>
        <family val="2"/>
        <scheme val="minor"/>
      </rPr>
      <t xml:space="preserve"> recebidos e </t>
    </r>
    <r>
      <rPr>
        <b/>
        <u/>
        <sz val="10"/>
        <rFont val="Calibri"/>
        <family val="2"/>
        <scheme val="minor"/>
      </rPr>
      <t>obter</t>
    </r>
    <r>
      <rPr>
        <b/>
        <sz val="10"/>
        <rFont val="Calibri"/>
        <family val="2"/>
        <scheme val="minor"/>
      </rPr>
      <t xml:space="preserve"> informações que possam retroalimentar, com agilidade, a melhoria de </t>
    </r>
    <r>
      <rPr>
        <b/>
        <i/>
        <sz val="10"/>
        <rFont val="Calibri"/>
        <family val="2"/>
        <scheme val="minor"/>
      </rPr>
      <t>produtos</t>
    </r>
    <r>
      <rPr>
        <b/>
        <sz val="10"/>
        <rFont val="Calibri"/>
        <family val="2"/>
        <scheme val="minor"/>
      </rPr>
      <t xml:space="preserve"> e processos. </t>
    </r>
  </si>
  <si>
    <r>
      <t xml:space="preserve">A percepção dos </t>
    </r>
    <r>
      <rPr>
        <b/>
        <i/>
        <sz val="11"/>
        <rFont val="Calibri"/>
        <family val="2"/>
        <scheme val="minor"/>
      </rPr>
      <t>clientes</t>
    </r>
    <r>
      <rPr>
        <b/>
        <sz val="11"/>
        <rFont val="Calibri"/>
        <family val="2"/>
        <scheme val="minor"/>
      </rPr>
      <t xml:space="preserve"> e eventuais intermediários, sobre a sua experiência com a organização e </t>
    </r>
    <r>
      <rPr>
        <b/>
        <i/>
        <sz val="11"/>
        <rFont val="Calibri"/>
        <family val="2"/>
        <scheme val="minor"/>
      </rPr>
      <t>produtos</t>
    </r>
    <r>
      <rPr>
        <b/>
        <sz val="11"/>
        <rFont val="Calibri"/>
        <family val="2"/>
        <scheme val="minor"/>
      </rPr>
      <t xml:space="preserve"> recebidos, deve ser avaliada por meio de </t>
    </r>
    <r>
      <rPr>
        <b/>
        <i/>
        <sz val="11"/>
        <rFont val="Calibri"/>
        <family val="2"/>
        <scheme val="minor"/>
      </rPr>
      <t>indicadores</t>
    </r>
    <r>
      <rPr>
        <b/>
        <sz val="11"/>
        <rFont val="Calibri"/>
        <family val="2"/>
        <scheme val="minor"/>
      </rPr>
      <t>.</t>
    </r>
  </si>
  <si>
    <r>
      <t xml:space="preserve">A experiência proporcionada aos </t>
    </r>
    <r>
      <rPr>
        <b/>
        <i/>
        <sz val="11"/>
        <rFont val="Calibri"/>
        <family val="2"/>
        <scheme val="minor"/>
      </rPr>
      <t>clientes</t>
    </r>
    <r>
      <rPr>
        <b/>
        <sz val="11"/>
        <rFont val="Calibri"/>
        <family val="2"/>
        <scheme val="minor"/>
      </rPr>
      <t xml:space="preserve"> deve ser avaliada</t>
    </r>
    <r>
      <rPr>
        <b/>
        <sz val="11"/>
        <color rgb="FF0070C0"/>
        <rFont val="Calibri"/>
        <family val="2"/>
        <scheme val="minor"/>
      </rPr>
      <t>142</t>
    </r>
    <r>
      <rPr>
        <b/>
        <sz val="11"/>
        <rFont val="Calibri"/>
        <family val="2"/>
        <scheme val="minor"/>
      </rPr>
      <t xml:space="preserve"> em relação a clientes de concorrentes ou de organizações de referência, incluindo líderes do setor ou do mercado.  </t>
    </r>
  </si>
  <si>
    <r>
      <t xml:space="preserve">O acompanhamento ativo da experiência proporcionada a novos </t>
    </r>
    <r>
      <rPr>
        <b/>
        <i/>
        <sz val="11"/>
        <rFont val="Calibri"/>
        <family val="2"/>
        <scheme val="minor"/>
      </rPr>
      <t>clientes</t>
    </r>
    <r>
      <rPr>
        <b/>
        <sz val="11"/>
        <rFont val="Calibri"/>
        <family val="2"/>
        <scheme val="minor"/>
      </rPr>
      <t xml:space="preserve"> e eventuais intermediários e </t>
    </r>
    <r>
      <rPr>
        <b/>
        <i/>
        <sz val="11"/>
        <rFont val="Calibri"/>
        <family val="2"/>
        <scheme val="minor"/>
      </rPr>
      <t>clientes</t>
    </r>
    <r>
      <rPr>
        <b/>
        <sz val="11"/>
        <rFont val="Calibri"/>
        <family val="2"/>
        <scheme val="minor"/>
      </rPr>
      <t xml:space="preserve"> de novos </t>
    </r>
    <r>
      <rPr>
        <b/>
        <i/>
        <sz val="11"/>
        <rFont val="Calibri"/>
        <family val="2"/>
        <scheme val="minor"/>
      </rPr>
      <t>produtos</t>
    </r>
    <r>
      <rPr>
        <b/>
        <sz val="11"/>
        <rFont val="Calibri"/>
        <family val="2"/>
        <scheme val="minor"/>
      </rPr>
      <t xml:space="preserve"> deve fazer parte da avaliação para se antecipar a problemas. </t>
    </r>
  </si>
  <si>
    <r>
      <t xml:space="preserve">A avaliação da percepção, pelos </t>
    </r>
    <r>
      <rPr>
        <b/>
        <i/>
        <sz val="11"/>
        <rFont val="Calibri"/>
        <family val="2"/>
        <scheme val="minor"/>
      </rPr>
      <t>clientes</t>
    </r>
    <r>
      <rPr>
        <b/>
        <sz val="11"/>
        <rFont val="Calibri"/>
        <family val="2"/>
        <scheme val="minor"/>
      </rPr>
      <t xml:space="preserve"> e eventuais intermediários, da sustentabilidade dos </t>
    </r>
    <r>
      <rPr>
        <b/>
        <i/>
        <sz val="11"/>
        <rFont val="Calibri"/>
        <family val="2"/>
        <scheme val="minor"/>
      </rPr>
      <t>produtos</t>
    </r>
    <r>
      <rPr>
        <b/>
        <sz val="11"/>
        <rFont val="Calibri"/>
        <family val="2"/>
        <scheme val="minor"/>
      </rPr>
      <t xml:space="preserve"> fornecidos pela organização e de seu compromisso com o </t>
    </r>
    <r>
      <rPr>
        <b/>
        <i/>
        <sz val="11"/>
        <rFont val="Calibri"/>
        <family val="2"/>
        <scheme val="minor"/>
      </rPr>
      <t xml:space="preserve">desenvolvimento sustentável </t>
    </r>
    <r>
      <rPr>
        <b/>
        <sz val="11"/>
        <rFont val="Calibri"/>
        <family val="2"/>
        <scheme val="minor"/>
      </rPr>
      <t xml:space="preserve">deve fazer parte da avaliação da experiência do </t>
    </r>
    <r>
      <rPr>
        <b/>
        <i/>
        <sz val="11"/>
        <rFont val="Calibri"/>
        <family val="2"/>
        <scheme val="minor"/>
      </rPr>
      <t>cliente</t>
    </r>
    <r>
      <rPr>
        <b/>
        <sz val="11"/>
        <rFont val="Calibri"/>
        <family val="2"/>
        <scheme val="minor"/>
      </rPr>
      <t>.</t>
    </r>
  </si>
  <si>
    <r>
      <t xml:space="preserve">A avaliação da percepção dos </t>
    </r>
    <r>
      <rPr>
        <b/>
        <i/>
        <sz val="11"/>
        <rFont val="Calibri"/>
        <family val="2"/>
        <scheme val="minor"/>
      </rPr>
      <t>clientes</t>
    </r>
    <r>
      <rPr>
        <b/>
        <sz val="11"/>
        <rFont val="Calibri"/>
        <family val="2"/>
        <scheme val="minor"/>
      </rPr>
      <t xml:space="preserve"> e eventuais intermediários, sobre aspectos de sustentabilidade da organização, deve ser acompanhada por meio de </t>
    </r>
    <r>
      <rPr>
        <b/>
        <i/>
        <sz val="11"/>
        <rFont val="Calibri"/>
        <family val="2"/>
        <scheme val="minor"/>
      </rPr>
      <t>indicadores</t>
    </r>
    <r>
      <rPr>
        <b/>
        <sz val="11"/>
        <rFont val="Calibri"/>
        <family val="2"/>
        <scheme val="minor"/>
      </rPr>
      <t>.</t>
    </r>
  </si>
  <si>
    <t>3.2d</t>
  </si>
  <si>
    <r>
      <t>d) Fidelização</t>
    </r>
    <r>
      <rPr>
        <b/>
        <sz val="10"/>
        <color rgb="FF0070C0"/>
        <rFont val="Calibri"/>
        <family val="2"/>
        <scheme val="minor"/>
      </rPr>
      <t>122</t>
    </r>
    <r>
      <rPr>
        <b/>
        <sz val="10"/>
        <rFont val="Calibri"/>
        <family val="2"/>
        <scheme val="minor"/>
      </rPr>
      <t xml:space="preserve"> de clientes </t>
    </r>
  </si>
  <si>
    <r>
      <t xml:space="preserve">Tem a finalidade de </t>
    </r>
    <r>
      <rPr>
        <b/>
        <u/>
        <sz val="10"/>
        <rFont val="Calibri"/>
        <family val="2"/>
        <scheme val="minor"/>
      </rPr>
      <t>tornar</t>
    </r>
    <r>
      <rPr>
        <b/>
        <sz val="10"/>
        <rFont val="Calibri"/>
        <family val="2"/>
        <scheme val="minor"/>
      </rPr>
      <t xml:space="preserve"> a experiência dos </t>
    </r>
    <r>
      <rPr>
        <b/>
        <i/>
        <sz val="10"/>
        <rFont val="Calibri"/>
        <family val="2"/>
        <scheme val="minor"/>
      </rPr>
      <t>clientes</t>
    </r>
    <r>
      <rPr>
        <b/>
        <sz val="10"/>
        <rFont val="Calibri"/>
        <family val="2"/>
        <scheme val="minor"/>
      </rPr>
      <t xml:space="preserve"> e eventuais intermediários mais valiosa para as partes, por meio do tratamento de oportunidades de melhoria convergentes e de inovações.</t>
    </r>
  </si>
  <si>
    <r>
      <t xml:space="preserve">Citar as principais formas de fidelização aplicadas aos principais tipos ou grupos de </t>
    </r>
    <r>
      <rPr>
        <b/>
        <i/>
        <sz val="11"/>
        <rFont val="Calibri"/>
        <family val="2"/>
        <scheme val="minor"/>
      </rPr>
      <t>clientes</t>
    </r>
    <r>
      <rPr>
        <b/>
        <sz val="11"/>
        <rFont val="Calibri"/>
        <family val="2"/>
        <scheme val="minor"/>
      </rPr>
      <t>.</t>
    </r>
  </si>
  <si>
    <r>
      <t xml:space="preserve">A identificação de oportunidades de melhoria, a partir da integração do conhecimento sobre os </t>
    </r>
    <r>
      <rPr>
        <b/>
        <i/>
        <sz val="11"/>
        <rFont val="Calibri"/>
        <family val="2"/>
        <scheme val="minor"/>
      </rPr>
      <t>clientes-alvo</t>
    </r>
    <r>
      <rPr>
        <b/>
        <sz val="11"/>
        <rFont val="Calibri"/>
        <family val="2"/>
        <scheme val="minor"/>
      </rPr>
      <t xml:space="preserve"> e das manifestações e percepções de </t>
    </r>
    <r>
      <rPr>
        <b/>
        <i/>
        <sz val="11"/>
        <rFont val="Calibri"/>
        <family val="2"/>
        <scheme val="minor"/>
      </rPr>
      <t>clientes</t>
    </r>
    <r>
      <rPr>
        <b/>
        <sz val="11"/>
        <rFont val="Calibri"/>
        <family val="2"/>
        <scheme val="minor"/>
      </rPr>
      <t xml:space="preserve">, deve incluir a convergência com o </t>
    </r>
    <r>
      <rPr>
        <b/>
        <i/>
        <sz val="11"/>
        <rFont val="Calibri"/>
        <family val="2"/>
        <scheme val="minor"/>
      </rPr>
      <t>desenvolvimento sustentável</t>
    </r>
    <r>
      <rPr>
        <b/>
        <sz val="11"/>
        <rFont val="Calibri"/>
        <family val="2"/>
        <scheme val="minor"/>
      </rPr>
      <t>.</t>
    </r>
  </si>
  <si>
    <r>
      <t xml:space="preserve">A fidelização dos diferentes tipos ou grupos de </t>
    </r>
    <r>
      <rPr>
        <b/>
        <i/>
        <sz val="11"/>
        <rFont val="Calibri"/>
        <family val="2"/>
        <scheme val="minor"/>
      </rPr>
      <t>clientes</t>
    </r>
    <r>
      <rPr>
        <b/>
        <sz val="11"/>
        <rFont val="Calibri"/>
        <family val="2"/>
        <scheme val="minor"/>
      </rPr>
      <t xml:space="preserve"> é avaliada por meio de </t>
    </r>
    <r>
      <rPr>
        <b/>
        <i/>
        <sz val="11"/>
        <rFont val="Calibri"/>
        <family val="2"/>
        <scheme val="minor"/>
      </rPr>
      <t>indicadores</t>
    </r>
    <r>
      <rPr>
        <b/>
        <sz val="11"/>
        <rFont val="Calibri"/>
        <family val="2"/>
        <scheme val="minor"/>
      </rPr>
      <t>.</t>
    </r>
  </si>
  <si>
    <t>4.</t>
  </si>
  <si>
    <t>CRITÉRIO 4 - SOCIEDADE</t>
  </si>
  <si>
    <t>Este Critério trata da gestão da responsabilidade e da segurança socioambientais da organização.</t>
  </si>
  <si>
    <t>4.1</t>
  </si>
  <si>
    <t>4.1 Responsabilidade socioambiental</t>
  </si>
  <si>
    <t>4.1a</t>
  </si>
  <si>
    <t xml:space="preserve">a) Manutenção da legalidade </t>
  </si>
  <si>
    <r>
      <t xml:space="preserve">Tem as finalidades de </t>
    </r>
    <r>
      <rPr>
        <b/>
        <u/>
        <sz val="10"/>
        <rFont val="Calibri"/>
        <family val="2"/>
        <scheme val="minor"/>
      </rPr>
      <t>identifica</t>
    </r>
    <r>
      <rPr>
        <b/>
        <sz val="10"/>
        <rFont val="Calibri"/>
        <family val="2"/>
        <scheme val="minor"/>
      </rPr>
      <t xml:space="preserve">r, </t>
    </r>
    <r>
      <rPr>
        <b/>
        <u/>
        <sz val="10"/>
        <rFont val="Calibri"/>
        <family val="2"/>
        <scheme val="minor"/>
      </rPr>
      <t>analisar</t>
    </r>
    <r>
      <rPr>
        <b/>
        <sz val="10"/>
        <rFont val="Calibri"/>
        <family val="2"/>
        <scheme val="minor"/>
      </rPr>
      <t xml:space="preserve"> e </t>
    </r>
    <r>
      <rPr>
        <b/>
        <u/>
        <sz val="10"/>
        <rFont val="Calibri"/>
        <family val="2"/>
        <scheme val="minor"/>
      </rPr>
      <t>atender</t>
    </r>
    <r>
      <rPr>
        <b/>
        <sz val="10"/>
        <rFont val="Calibri"/>
        <family val="2"/>
        <scheme val="minor"/>
      </rPr>
      <t xml:space="preserve"> às leis, regulamentos e normas exigíveis da organização, de qualquer natureza, em todas as regiões de atuação, tempestivamente. </t>
    </r>
  </si>
  <si>
    <t>Os principais requisitos legais e regulamentares e eventuais pendências ou sanções devem ser apresentados no Perfil.</t>
  </si>
  <si>
    <r>
      <t xml:space="preserve">Deve existir padrão para tratamento de não conformidades, inclusive apontadas por instâncias de </t>
    </r>
    <r>
      <rPr>
        <b/>
        <i/>
        <sz val="11"/>
        <rFont val="Calibri"/>
        <family val="2"/>
        <scheme val="minor"/>
      </rPr>
      <t>governança</t>
    </r>
    <r>
      <rPr>
        <b/>
        <sz val="11"/>
        <rFont val="Calibri"/>
        <family val="2"/>
        <scheme val="minor"/>
      </rPr>
      <t xml:space="preserve"> e órgãos de controle da sociedade.</t>
    </r>
  </si>
  <si>
    <t>A avaliação própria, da conformidade legal, regulatória e normativa deve ser executada.</t>
  </si>
  <si>
    <t xml:space="preserve">A avaliação própria da conformidade legal, regulatória e normativa deve abranger leis, regulamentos e normas, em discussão nos foros responsáveis, para avaliar potenciais impactos. </t>
  </si>
  <si>
    <t>Deve existir padrão para estabelecimento de termos de ajuste de conduta voluntários e corretivos para tratamento de pendências ou sanções.</t>
  </si>
  <si>
    <r>
      <t xml:space="preserve">A manutenção da conformidade legal, regulatória e normativa deve ser avaliada por meio de </t>
    </r>
    <r>
      <rPr>
        <b/>
        <i/>
        <sz val="11"/>
        <rFont val="Calibri"/>
        <family val="2"/>
        <scheme val="minor"/>
      </rPr>
      <t>indicadores</t>
    </r>
    <r>
      <rPr>
        <b/>
        <sz val="11"/>
        <rFont val="Calibri"/>
        <family val="2"/>
        <scheme val="minor"/>
      </rPr>
      <t>.</t>
    </r>
  </si>
  <si>
    <t>4.1b</t>
  </si>
  <si>
    <t xml:space="preserve">b) Atuação para o desenvolvimento sustentável </t>
  </si>
  <si>
    <r>
      <t xml:space="preserve">Visa a </t>
    </r>
    <r>
      <rPr>
        <b/>
        <u/>
        <sz val="10"/>
        <rFont val="Calibri"/>
        <family val="2"/>
        <scheme val="minor"/>
      </rPr>
      <t>avaliar</t>
    </r>
    <r>
      <rPr>
        <b/>
        <sz val="10"/>
        <rFont val="Calibri"/>
        <family val="2"/>
        <scheme val="minor"/>
      </rPr>
      <t xml:space="preserve">, </t>
    </r>
    <r>
      <rPr>
        <b/>
        <u/>
        <sz val="10"/>
        <rFont val="Calibri"/>
        <family val="2"/>
        <scheme val="minor"/>
      </rPr>
      <t>selecionar</t>
    </r>
    <r>
      <rPr>
        <b/>
        <sz val="10"/>
        <rFont val="Calibri"/>
        <family val="2"/>
        <scheme val="minor"/>
      </rPr>
      <t xml:space="preserve"> e </t>
    </r>
    <r>
      <rPr>
        <b/>
        <u/>
        <sz val="10"/>
        <rFont val="Calibri"/>
        <family val="2"/>
        <scheme val="minor"/>
      </rPr>
      <t>adotar</t>
    </r>
    <r>
      <rPr>
        <b/>
        <sz val="10"/>
        <rFont val="Calibri"/>
        <family val="2"/>
        <scheme val="minor"/>
      </rPr>
      <t xml:space="preserve"> códigos e normas da sociedade, de adesão voluntária pela organização (normas, modelos, pactos, compromissos e similares) de forma a buscar incorporar suas recomendações relativas ao </t>
    </r>
    <r>
      <rPr>
        <b/>
        <i/>
        <sz val="10"/>
        <rFont val="Calibri"/>
        <family val="2"/>
        <scheme val="minor"/>
      </rPr>
      <t>desenvolvimento sustentável</t>
    </r>
    <r>
      <rPr>
        <b/>
        <sz val="10"/>
        <rFont val="Calibri"/>
        <family val="2"/>
        <scheme val="minor"/>
      </rPr>
      <t>.</t>
    </r>
  </si>
  <si>
    <t>Informar a diretriz organizacional que demonstra o alinhamento das ações de atuação socioambiental aos Objetivos do Desenvolvimento Sustentável das Nações Unidas (ODS) ou compatíveis, além dos objetivos tratados naturalmente pelas operações do negócio da organização.</t>
  </si>
  <si>
    <t>Citar as principais ações implementadas ou apoiadas, informando aquelas que incorporam pessoas voluntárias, a contribuição das ações para os ODS's específicos e os próximos passos mais importantes.</t>
  </si>
  <si>
    <r>
      <t>As necessidades, expectativas e predisposições das comunidades influenciadas</t>
    </r>
    <r>
      <rPr>
        <b/>
        <sz val="11"/>
        <color rgb="FF0070C0"/>
        <rFont val="Calibri"/>
        <family val="2"/>
        <scheme val="minor"/>
      </rPr>
      <t xml:space="preserve">144 </t>
    </r>
    <r>
      <rPr>
        <b/>
        <sz val="11"/>
        <rFont val="Calibri"/>
        <family val="2"/>
        <scheme val="minor"/>
      </rPr>
      <t xml:space="preserve">devem ser identificadas e consideradas no planejamento de ações de promoção do </t>
    </r>
    <r>
      <rPr>
        <b/>
        <i/>
        <sz val="11"/>
        <rFont val="Calibri"/>
        <family val="2"/>
        <scheme val="minor"/>
      </rPr>
      <t>desenvolvimento sustentável</t>
    </r>
    <r>
      <rPr>
        <b/>
        <sz val="11"/>
        <rFont val="Calibri"/>
        <family val="2"/>
        <scheme val="minor"/>
      </rPr>
      <t>.</t>
    </r>
  </si>
  <si>
    <r>
      <t xml:space="preserve">O voluntariado da força de trabalho nas ações de promoção do </t>
    </r>
    <r>
      <rPr>
        <b/>
        <i/>
        <sz val="11"/>
        <rFont val="Calibri"/>
        <family val="2"/>
        <scheme val="minor"/>
      </rPr>
      <t>desenvolvimento sustentável</t>
    </r>
    <r>
      <rPr>
        <b/>
        <sz val="11"/>
        <rFont val="Calibri"/>
        <family val="2"/>
        <scheme val="minor"/>
      </rPr>
      <t xml:space="preserve"> deve ser estimulado para desenvolver sua responsabilidade social individual. </t>
    </r>
  </si>
  <si>
    <r>
      <t xml:space="preserve">Citar as principais ações implementadas ou apoiadas que envolvem </t>
    </r>
    <r>
      <rPr>
        <b/>
        <i/>
        <sz val="11"/>
        <rFont val="Calibri"/>
        <family val="2"/>
        <scheme val="minor"/>
      </rPr>
      <t>parceiros</t>
    </r>
    <r>
      <rPr>
        <b/>
        <sz val="11"/>
        <rFont val="Calibri"/>
        <family val="2"/>
        <scheme val="minor"/>
      </rPr>
      <t xml:space="preserve"> ou </t>
    </r>
    <r>
      <rPr>
        <b/>
        <i/>
        <sz val="11"/>
        <rFont val="Calibri"/>
        <family val="2"/>
        <scheme val="minor"/>
      </rPr>
      <t>redes</t>
    </r>
    <r>
      <rPr>
        <b/>
        <sz val="11"/>
        <rFont val="Calibri"/>
        <family val="2"/>
        <scheme val="minor"/>
      </rPr>
      <t>.</t>
    </r>
  </si>
  <si>
    <r>
      <t xml:space="preserve">As ações mais importantes escolhidas pela organização para promoção do </t>
    </r>
    <r>
      <rPr>
        <b/>
        <i/>
        <sz val="11"/>
        <rFont val="Calibri"/>
        <family val="2"/>
        <scheme val="minor"/>
      </rPr>
      <t>desenvolvimento sustentável</t>
    </r>
    <r>
      <rPr>
        <b/>
        <sz val="11"/>
        <rFont val="Calibri"/>
        <family val="2"/>
        <scheme val="minor"/>
      </rPr>
      <t xml:space="preserve"> devem ser compatíveis com sua realidade socioambiental interna e externa e baseadas em critérios pertinentes. </t>
    </r>
  </si>
  <si>
    <r>
      <t xml:space="preserve">As ações para promoção do </t>
    </r>
    <r>
      <rPr>
        <b/>
        <i/>
        <sz val="11"/>
        <rFont val="Calibri"/>
        <family val="2"/>
        <scheme val="minor"/>
      </rPr>
      <t>desenvolvimento sustentável</t>
    </r>
    <r>
      <rPr>
        <b/>
        <sz val="11"/>
        <rFont val="Calibri"/>
        <family val="2"/>
        <scheme val="minor"/>
      </rPr>
      <t xml:space="preserve"> devem incluir o apoio à implementação de políticas públicas voltadas ao saneamento ambiental integrado ou à sustentabilidade, tornando a organização uma agente promotora de mudanças requeridas pela sociedade.</t>
    </r>
  </si>
  <si>
    <r>
      <t xml:space="preserve">As ações de contribuição para o </t>
    </r>
    <r>
      <rPr>
        <b/>
        <i/>
        <sz val="11"/>
        <rFont val="Calibri"/>
        <family val="2"/>
        <scheme val="minor"/>
      </rPr>
      <t>desenvolvimento sustentável</t>
    </r>
    <r>
      <rPr>
        <b/>
        <sz val="11"/>
        <rFont val="Calibri"/>
        <family val="2"/>
        <scheme val="minor"/>
      </rPr>
      <t xml:space="preserve"> devem envolver parceiros ou redes para potencializar as ações, não gerar dependência exclusiva da organização e promover a boa imagem institucional. </t>
    </r>
  </si>
  <si>
    <t>O atendimento a normas ou códigos de adesão voluntária deve incluir formas de avaliação independente sobre o cumprimento do escopo de adesão planejado.</t>
  </si>
  <si>
    <t>Deve existir padrão para avaliação do atendimento a códigos voluntários escolhidos e para buscar seu pleno atendimento.</t>
  </si>
  <si>
    <r>
      <t xml:space="preserve">As ações de contribuição para o </t>
    </r>
    <r>
      <rPr>
        <b/>
        <i/>
        <sz val="11"/>
        <rFont val="Calibri"/>
        <family val="2"/>
        <scheme val="minor"/>
      </rPr>
      <t>desenvolvimento sustentável</t>
    </r>
    <r>
      <rPr>
        <b/>
        <sz val="11"/>
        <rFont val="Calibri"/>
        <family val="2"/>
        <scheme val="minor"/>
      </rPr>
      <t xml:space="preserve"> devem incluir na organização: a redução de desigualdades, inclusive de gênero, a inclusão de minorias, e a </t>
    </r>
    <r>
      <rPr>
        <b/>
        <i/>
        <sz val="11"/>
        <rFont val="Calibri"/>
        <family val="2"/>
        <scheme val="minor"/>
      </rPr>
      <t>acessibilidade</t>
    </r>
    <r>
      <rPr>
        <b/>
        <sz val="11"/>
        <rFont val="Calibri"/>
        <family val="2"/>
        <scheme val="minor"/>
      </rPr>
      <t xml:space="preserve">, e a sua promoção na sociedade. </t>
    </r>
  </si>
  <si>
    <r>
      <t xml:space="preserve">Os projetos, relativos às ações de contribuição para o </t>
    </r>
    <r>
      <rPr>
        <b/>
        <i/>
        <sz val="11"/>
        <rFont val="Calibri"/>
        <family val="2"/>
        <scheme val="minor"/>
      </rPr>
      <t>desenvolvimento sustentável</t>
    </r>
    <r>
      <rPr>
        <b/>
        <sz val="11"/>
        <rFont val="Calibri"/>
        <family val="2"/>
        <scheme val="minor"/>
      </rPr>
      <t xml:space="preserve"> implementadas, devem ser avaliados e devem ser publicados juntamente com os resultados alcançados.</t>
    </r>
  </si>
  <si>
    <r>
      <t xml:space="preserve">A imagem institucional na sociedade deve ser avaliada por meio de </t>
    </r>
    <r>
      <rPr>
        <b/>
        <i/>
        <sz val="11"/>
        <rFont val="Calibri"/>
        <family val="2"/>
        <scheme val="minor"/>
      </rPr>
      <t>indicador</t>
    </r>
    <r>
      <rPr>
        <b/>
        <sz val="11"/>
        <rFont val="Calibri"/>
        <family val="2"/>
        <scheme val="minor"/>
      </rPr>
      <t>.</t>
    </r>
  </si>
  <si>
    <r>
      <t xml:space="preserve">O atendimento a ODSs ou códigos compatíveis deve ser avaliado por meio de </t>
    </r>
    <r>
      <rPr>
        <b/>
        <i/>
        <sz val="11"/>
        <rFont val="Calibri"/>
        <family val="2"/>
        <scheme val="minor"/>
      </rPr>
      <t>indicador</t>
    </r>
    <r>
      <rPr>
        <b/>
        <sz val="11"/>
        <color rgb="FF0070C0"/>
        <rFont val="Calibri"/>
        <family val="2"/>
        <scheme val="minor"/>
      </rPr>
      <t>145</t>
    </r>
    <r>
      <rPr>
        <b/>
        <sz val="11"/>
        <rFont val="Calibri"/>
        <family val="2"/>
        <scheme val="minor"/>
      </rPr>
      <t>.</t>
    </r>
  </si>
  <si>
    <t>4.2</t>
  </si>
  <si>
    <t>4.2 Segurança socioambiental</t>
  </si>
  <si>
    <t>4.2a</t>
  </si>
  <si>
    <t xml:space="preserve">a) Controle de impactos adversos </t>
  </si>
  <si>
    <r>
      <t xml:space="preserve">Tem os objetivos de </t>
    </r>
    <r>
      <rPr>
        <b/>
        <u/>
        <sz val="10"/>
        <rFont val="Calibri"/>
        <family val="2"/>
        <scheme val="minor"/>
      </rPr>
      <t>mapear</t>
    </r>
    <r>
      <rPr>
        <b/>
        <sz val="10"/>
        <rFont val="Calibri"/>
        <family val="2"/>
        <scheme val="minor"/>
      </rPr>
      <t xml:space="preserve"> e </t>
    </r>
    <r>
      <rPr>
        <b/>
        <u/>
        <sz val="10"/>
        <rFont val="Calibri"/>
        <family val="2"/>
        <scheme val="minor"/>
      </rPr>
      <t>monitorar</t>
    </r>
    <r>
      <rPr>
        <b/>
        <sz val="10"/>
        <rFont val="Calibri"/>
        <family val="2"/>
        <scheme val="minor"/>
      </rPr>
      <t xml:space="preserve">, de forma integrada, os impactos sociais, ambientais e de </t>
    </r>
    <r>
      <rPr>
        <b/>
        <i/>
        <sz val="10"/>
        <rFont val="Calibri"/>
        <family val="2"/>
        <scheme val="minor"/>
      </rPr>
      <t>governança</t>
    </r>
    <r>
      <rPr>
        <b/>
        <sz val="10"/>
        <rFont val="Calibri"/>
        <family val="2"/>
        <scheme val="minor"/>
      </rPr>
      <t xml:space="preserve"> adversos, atuais e potenciais, decorrentes de decisões, </t>
    </r>
    <r>
      <rPr>
        <b/>
        <i/>
        <sz val="10"/>
        <rFont val="Calibri"/>
        <family val="2"/>
        <scheme val="minor"/>
      </rPr>
      <t>produtos</t>
    </r>
    <r>
      <rPr>
        <b/>
        <sz val="10"/>
        <rFont val="Calibri"/>
        <family val="2"/>
        <scheme val="minor"/>
      </rPr>
      <t xml:space="preserve"> e operações e </t>
    </r>
    <r>
      <rPr>
        <b/>
        <u/>
        <sz val="10"/>
        <rFont val="Calibri"/>
        <family val="2"/>
        <scheme val="minor"/>
      </rPr>
      <t>acompanhar</t>
    </r>
    <r>
      <rPr>
        <b/>
        <sz val="10"/>
        <rFont val="Calibri"/>
        <family val="2"/>
        <scheme val="minor"/>
      </rPr>
      <t xml:space="preserve"> a sua mitigação (eliminação, minimização ou compensação</t>
    </r>
    <r>
      <rPr>
        <b/>
        <sz val="10"/>
        <color rgb="FF0070C0"/>
        <rFont val="Calibri"/>
        <family val="2"/>
        <scheme val="minor"/>
      </rPr>
      <t>146</t>
    </r>
    <r>
      <rPr>
        <b/>
        <sz val="10"/>
        <rFont val="Calibri"/>
        <family val="2"/>
        <scheme val="minor"/>
      </rPr>
      <t>).</t>
    </r>
  </si>
  <si>
    <r>
      <t xml:space="preserve">Citar os principais impactos sociais, ambientais e de </t>
    </r>
    <r>
      <rPr>
        <b/>
        <i/>
        <sz val="11"/>
        <rFont val="Calibri"/>
        <family val="2"/>
        <scheme val="minor"/>
      </rPr>
      <t>governança</t>
    </r>
    <r>
      <rPr>
        <b/>
        <sz val="11"/>
        <rFont val="Calibri"/>
        <family val="2"/>
        <scheme val="minor"/>
      </rPr>
      <t xml:space="preserve"> adversos, atuais e potenciais e suas principais ações mitigadoras.</t>
    </r>
  </si>
  <si>
    <t>As ações mitigadoras de impactos adversos devem incluir a educação dos envolvidos.</t>
  </si>
  <si>
    <r>
      <t xml:space="preserve">A significância dos impactos adversos deve ser estabelecida com base em critérios compatíveis com sua realidade socioambiental interna e externa, </t>
    </r>
    <r>
      <rPr>
        <b/>
        <sz val="11"/>
        <color rgb="FF0070C0"/>
        <rFont val="Calibri"/>
        <family val="2"/>
        <scheme val="minor"/>
      </rPr>
      <t>e monitorada considerando a eficácia das ações mitigadoras</t>
    </r>
    <r>
      <rPr>
        <b/>
        <sz val="11"/>
        <rFont val="Calibri"/>
        <family val="2"/>
        <scheme val="minor"/>
      </rPr>
      <t>.</t>
    </r>
  </si>
  <si>
    <r>
      <t xml:space="preserve">O monitoramento de impactos adversos que envolvem </t>
    </r>
    <r>
      <rPr>
        <b/>
        <i/>
        <sz val="11"/>
        <rFont val="Calibri"/>
        <family val="2"/>
        <scheme val="minor"/>
      </rPr>
      <t>riscos</t>
    </r>
    <r>
      <rPr>
        <b/>
        <sz val="11"/>
        <rFont val="Calibri"/>
        <family val="2"/>
        <scheme val="minor"/>
      </rPr>
      <t xml:space="preserve"> à saúde e à vida da comunidade e de desastres ambientais deve incluir a avaliação por instituição independente</t>
    </r>
    <r>
      <rPr>
        <b/>
        <sz val="11"/>
        <color rgb="FF0070C0"/>
        <rFont val="Calibri"/>
        <family val="2"/>
        <scheme val="minor"/>
      </rPr>
      <t>147</t>
    </r>
    <r>
      <rPr>
        <b/>
        <sz val="11"/>
        <rFont val="Calibri"/>
        <family val="2"/>
        <scheme val="minor"/>
      </rPr>
      <t>.</t>
    </r>
  </si>
  <si>
    <r>
      <t xml:space="preserve">A </t>
    </r>
    <r>
      <rPr>
        <b/>
        <i/>
        <sz val="11"/>
        <rFont val="Calibri"/>
        <family val="2"/>
        <scheme val="minor"/>
      </rPr>
      <t>direção</t>
    </r>
    <r>
      <rPr>
        <b/>
        <sz val="11"/>
        <rFont val="Calibri"/>
        <family val="2"/>
        <scheme val="minor"/>
      </rPr>
      <t xml:space="preserve"> deve acompanhar os impactos de maior significância e situação da mitigação.</t>
    </r>
  </si>
  <si>
    <r>
      <t xml:space="preserve">As ações mitigadoras de impactos adversos devem promover a </t>
    </r>
    <r>
      <rPr>
        <b/>
        <i/>
        <sz val="11"/>
        <rFont val="Calibri"/>
        <family val="2"/>
        <scheme val="minor"/>
      </rPr>
      <t>economia circular</t>
    </r>
    <r>
      <rPr>
        <b/>
        <sz val="11"/>
        <rFont val="Calibri"/>
        <family val="2"/>
        <scheme val="minor"/>
      </rPr>
      <t xml:space="preserve"> e, quando aplicável, o consumo responsável.</t>
    </r>
  </si>
  <si>
    <t>Apresentar as metas para mitigar os principais impactos sociais e ambientais adversos, atuais e potenciais.</t>
  </si>
  <si>
    <t>Os gestores de todas as áreas devem participar do controle de impactos sociais e ambientais adversos, sendo que o mapeamento, a significância e as ações mitigadoras devem ser atualizados em alinhamento com ciclos de tomada de decisão e planejamento.</t>
  </si>
  <si>
    <r>
      <t xml:space="preserve">O êxito na prevenção de impactos sociais e ambientais adversos deve ser avaliado por meio de </t>
    </r>
    <r>
      <rPr>
        <b/>
        <i/>
        <sz val="11"/>
        <rFont val="Calibri"/>
        <family val="2"/>
        <scheme val="minor"/>
      </rPr>
      <t>indicador.</t>
    </r>
  </si>
  <si>
    <t>4.2b</t>
  </si>
  <si>
    <t xml:space="preserve">b) Prontidão para emergências </t>
  </si>
  <si>
    <r>
      <t xml:space="preserve">Tem a finalidade de </t>
    </r>
    <r>
      <rPr>
        <b/>
        <u/>
        <sz val="10"/>
        <rFont val="Calibri"/>
        <family val="2"/>
        <scheme val="minor"/>
      </rPr>
      <t>manter</t>
    </r>
    <r>
      <rPr>
        <b/>
        <sz val="10"/>
        <rFont val="Calibri"/>
        <family val="2"/>
        <scheme val="minor"/>
      </rPr>
      <t xml:space="preserve"> a organização preparada para responder a potenciais emergências, associadas aos impactos adversos sociais e ambientais mais relevantes.</t>
    </r>
  </si>
  <si>
    <r>
      <t xml:space="preserve">Citar as principais potenciais emergências e o nome do protocolo </t>
    </r>
    <r>
      <rPr>
        <b/>
        <sz val="11"/>
        <color rgb="FF0070C0"/>
        <rFont val="Calibri"/>
        <family val="2"/>
        <scheme val="minor"/>
      </rPr>
      <t xml:space="preserve">de tratamento </t>
    </r>
    <r>
      <rPr>
        <b/>
        <sz val="11"/>
        <rFont val="Calibri"/>
        <family val="2"/>
        <scheme val="minor"/>
      </rPr>
      <t>associado.</t>
    </r>
  </si>
  <si>
    <r>
      <t xml:space="preserve">A resposta a potenciais emergências que envolvem </t>
    </r>
    <r>
      <rPr>
        <b/>
        <i/>
        <sz val="11"/>
        <rFont val="Calibri"/>
        <family val="2"/>
        <scheme val="minor"/>
      </rPr>
      <t>riscos</t>
    </r>
    <r>
      <rPr>
        <b/>
        <sz val="11"/>
        <rFont val="Calibri"/>
        <family val="2"/>
        <scheme val="minor"/>
      </rPr>
      <t xml:space="preserve"> à saúde e à vida da comunidade e de desastres ambientais devem ter protocolos predefinidos.</t>
    </r>
  </si>
  <si>
    <r>
      <t xml:space="preserve">A prontidão para resposta a potenciais emergências deve envolver as </t>
    </r>
    <r>
      <rPr>
        <b/>
        <i/>
        <sz val="11"/>
        <color rgb="FF0070C0"/>
        <rFont val="Calibri"/>
        <family val="2"/>
        <scheme val="minor"/>
      </rPr>
      <t>partes interessadas</t>
    </r>
    <r>
      <rPr>
        <b/>
        <sz val="11"/>
        <color rgb="FF0070C0"/>
        <rFont val="Calibri"/>
        <family val="2"/>
        <scheme val="minor"/>
      </rPr>
      <t xml:space="preserve"> afetadas, considerando a sua exposição aos riscos à saúde, à vida e de desastres ambientais.</t>
    </r>
  </si>
  <si>
    <t>Os responsáveis pela coordenação das respostas às principais potenciais emergências e interlocutores nas comunidades impactadas devem ser pré-designadas, capacitadas e conhecidas pelos envolvidos.</t>
  </si>
  <si>
    <r>
      <t>A prontidão para resposta</t>
    </r>
    <r>
      <rPr>
        <b/>
        <sz val="11"/>
        <color rgb="FF0070C0"/>
        <rFont val="Calibri"/>
        <family val="2"/>
        <scheme val="minor"/>
      </rPr>
      <t>148</t>
    </r>
    <r>
      <rPr>
        <b/>
        <sz val="11"/>
        <rFont val="Calibri"/>
        <family val="2"/>
        <scheme val="minor"/>
      </rPr>
      <t xml:space="preserve"> a emergências potenciais e reais ocorridas deve ser avaliada </t>
    </r>
    <r>
      <rPr>
        <b/>
        <sz val="11"/>
        <color rgb="FF0070C0"/>
        <rFont val="Calibri"/>
        <family val="2"/>
        <scheme val="minor"/>
      </rPr>
      <t>com a participação das partes interessadas afetadas</t>
    </r>
    <r>
      <rPr>
        <b/>
        <sz val="11"/>
        <rFont val="Calibri"/>
        <family val="2"/>
        <scheme val="minor"/>
      </rPr>
      <t>.</t>
    </r>
  </si>
  <si>
    <t>Deve haver critérios para determinar quais impactos devem ter protocolo de emergência predefinido.</t>
  </si>
  <si>
    <t>A avaliação de resposta a emergências potenciais e reais ocorridas deve ter a participação de instituições representantes das comunidades impactadas ou de especialistas no tema.</t>
  </si>
  <si>
    <r>
      <t xml:space="preserve">A prontidão de resposta às emergências que envolvem </t>
    </r>
    <r>
      <rPr>
        <b/>
        <i/>
        <sz val="11"/>
        <rFont val="Calibri"/>
        <family val="2"/>
        <scheme val="minor"/>
      </rPr>
      <t>riscos</t>
    </r>
    <r>
      <rPr>
        <b/>
        <sz val="11"/>
        <rFont val="Calibri"/>
        <family val="2"/>
        <scheme val="minor"/>
      </rPr>
      <t xml:space="preserve"> à saúde e à vida da comunidade e de desastres ambientais deve incluir parecer de instituição independente</t>
    </r>
    <r>
      <rPr>
        <b/>
        <sz val="11"/>
        <color rgb="FF0070C0"/>
        <rFont val="Calibri"/>
        <family val="2"/>
        <scheme val="minor"/>
      </rPr>
      <t>149</t>
    </r>
    <r>
      <rPr>
        <b/>
        <sz val="11"/>
        <rFont val="Calibri"/>
        <family val="2"/>
        <scheme val="minor"/>
      </rPr>
      <t>.</t>
    </r>
  </si>
  <si>
    <r>
      <t xml:space="preserve">A </t>
    </r>
    <r>
      <rPr>
        <b/>
        <i/>
        <sz val="11"/>
        <rFont val="Calibri"/>
        <family val="2"/>
        <scheme val="minor"/>
      </rPr>
      <t>direção</t>
    </r>
    <r>
      <rPr>
        <b/>
        <sz val="11"/>
        <rFont val="Calibri"/>
        <family val="2"/>
        <scheme val="minor"/>
      </rPr>
      <t xml:space="preserve"> deve acompanhar o nível de prontidão de resposta às emergências que envolvem </t>
    </r>
    <r>
      <rPr>
        <b/>
        <i/>
        <sz val="11"/>
        <rFont val="Calibri"/>
        <family val="2"/>
        <scheme val="minor"/>
      </rPr>
      <t>riscos</t>
    </r>
    <r>
      <rPr>
        <b/>
        <sz val="11"/>
        <rFont val="Calibri"/>
        <family val="2"/>
        <scheme val="minor"/>
      </rPr>
      <t xml:space="preserve"> à saúde e à vida da comunidade e de desastres ambientais e tornar públicos os pareceres independentes.</t>
    </r>
  </si>
  <si>
    <r>
      <t xml:space="preserve">A prontidão de resposta às emergências que envolvem riscos à saúde e à vida da comunidade e de desastres ambientais deve ser avaliada por meio de </t>
    </r>
    <r>
      <rPr>
        <b/>
        <i/>
        <sz val="11"/>
        <rFont val="Calibri"/>
        <family val="2"/>
        <scheme val="minor"/>
      </rPr>
      <t>indicador</t>
    </r>
    <r>
      <rPr>
        <b/>
        <sz val="11"/>
        <rFont val="Calibri"/>
        <family val="2"/>
        <scheme val="minor"/>
      </rPr>
      <t>.</t>
    </r>
  </si>
  <si>
    <t>5.</t>
  </si>
  <si>
    <t>CRITÉRIO 5 - CONHECIMENTO, INOVAÇÃO E TECNOLOGIA</t>
  </si>
  <si>
    <r>
      <t xml:space="preserve">Este Critério trata da gestão do conhecimento essencial, da </t>
    </r>
    <r>
      <rPr>
        <i/>
        <sz val="10"/>
        <rFont val="Calibri"/>
        <family val="2"/>
        <scheme val="minor"/>
      </rPr>
      <t>inovação</t>
    </r>
    <r>
      <rPr>
        <sz val="10"/>
        <rFont val="Calibri"/>
        <family val="2"/>
        <scheme val="minor"/>
      </rPr>
      <t xml:space="preserve">  sustentável e da adaptação digital</t>
    </r>
    <r>
      <rPr>
        <sz val="10"/>
        <color rgb="FF0070C0"/>
        <rFont val="Calibri"/>
        <family val="2"/>
        <scheme val="minor"/>
      </rPr>
      <t>129</t>
    </r>
    <r>
      <rPr>
        <sz val="10"/>
        <rFont val="Calibri"/>
        <family val="2"/>
        <scheme val="minor"/>
      </rPr>
      <t xml:space="preserve">, que são necessários para potencializar o êxito das </t>
    </r>
    <r>
      <rPr>
        <i/>
        <sz val="10"/>
        <rFont val="Calibri"/>
        <family val="2"/>
        <scheme val="minor"/>
      </rPr>
      <t xml:space="preserve">estratégias </t>
    </r>
    <r>
      <rPr>
        <i/>
        <sz val="10"/>
        <color rgb="FF0070C0"/>
        <rFont val="Calibri"/>
        <family val="2"/>
        <scheme val="minor"/>
      </rPr>
      <t>e planos</t>
    </r>
    <r>
      <rPr>
        <sz val="10"/>
        <rFont val="Calibri"/>
        <family val="2"/>
        <scheme val="minor"/>
      </rPr>
      <t xml:space="preserve">, incluindo de gestão para o </t>
    </r>
    <r>
      <rPr>
        <i/>
        <sz val="10"/>
        <rFont val="Calibri"/>
        <family val="2"/>
        <scheme val="minor"/>
      </rPr>
      <t xml:space="preserve">desenvolvimento sustentável </t>
    </r>
    <r>
      <rPr>
        <sz val="10"/>
        <color rgb="FF0070C0"/>
        <rFont val="Calibri"/>
        <family val="2"/>
        <scheme val="minor"/>
      </rPr>
      <t>e o uso da inteligência artificial (IA).</t>
    </r>
    <r>
      <rPr>
        <sz val="10"/>
        <rFont val="Calibri"/>
        <family val="2"/>
        <scheme val="minor"/>
      </rPr>
      <t xml:space="preserve"> </t>
    </r>
  </si>
  <si>
    <t>5.1</t>
  </si>
  <si>
    <t>5.1 Conhecimento essencial</t>
  </si>
  <si>
    <t>5.1a</t>
  </si>
  <si>
    <t xml:space="preserve">a) Mapeamento dos conhecimentos </t>
  </si>
  <si>
    <r>
      <t xml:space="preserve">Tem o objetivo de </t>
    </r>
    <r>
      <rPr>
        <b/>
        <u/>
        <sz val="10"/>
        <rFont val="Calibri"/>
        <family val="2"/>
        <scheme val="minor"/>
      </rPr>
      <t>identificar</t>
    </r>
    <r>
      <rPr>
        <b/>
        <sz val="10"/>
        <rFont val="Calibri"/>
        <family val="2"/>
        <scheme val="minor"/>
      </rPr>
      <t xml:space="preserve"> os conhecimentos mais importantes que precisam ser reforçados e internalizados</t>
    </r>
    <r>
      <rPr>
        <b/>
        <sz val="10"/>
        <color rgb="FF0070C0"/>
        <rFont val="Calibri"/>
        <family val="2"/>
        <scheme val="minor"/>
      </rPr>
      <t>154</t>
    </r>
    <r>
      <rPr>
        <b/>
        <sz val="10"/>
        <rFont val="Calibri"/>
        <family val="2"/>
        <scheme val="minor"/>
      </rPr>
      <t xml:space="preserve"> na organização a partir das </t>
    </r>
    <r>
      <rPr>
        <b/>
        <i/>
        <sz val="10"/>
        <rFont val="Calibri"/>
        <family val="2"/>
        <scheme val="minor"/>
      </rPr>
      <t>competências essenciais</t>
    </r>
    <r>
      <rPr>
        <b/>
        <sz val="10"/>
        <color rgb="FF0070C0"/>
        <rFont val="Calibri"/>
        <family val="2"/>
        <scheme val="minor"/>
      </rPr>
      <t>155</t>
    </r>
    <r>
      <rPr>
        <b/>
        <sz val="10"/>
        <rFont val="Calibri"/>
        <family val="2"/>
        <scheme val="minor"/>
      </rPr>
      <t xml:space="preserve">, que faltam ou que podem vir a faltar para o êxito das estratégias, inclusive para gestão e para a modelagem do negócio sustentável. </t>
    </r>
  </si>
  <si>
    <t>Citar os conhecimentos mais importantes, destacando os que ainda precisam ser internalizados, se houver.</t>
  </si>
  <si>
    <r>
      <t>A identificação de conhecimentos mais importantes para gestão a serem internalizados, deve utilizar normas ou modelos</t>
    </r>
    <r>
      <rPr>
        <b/>
        <sz val="11"/>
        <color rgb="FF0070C0"/>
        <rFont val="Calibri"/>
        <family val="2"/>
        <scheme val="minor"/>
      </rPr>
      <t>156</t>
    </r>
    <r>
      <rPr>
        <b/>
        <sz val="11"/>
        <rFont val="Calibri"/>
        <family val="2"/>
        <scheme val="minor"/>
      </rPr>
      <t xml:space="preserve"> como referência e o resultado da avaliação, vis-à-vis ao modelo adotado, deve apontar e priorizar oportunidades de melhoria.</t>
    </r>
  </si>
  <si>
    <r>
      <t>Os conhecimentos mais importantes a serem internalizados, devem incluir os relativos à</t>
    </r>
    <r>
      <rPr>
        <b/>
        <i/>
        <sz val="11"/>
        <rFont val="Calibri"/>
        <family val="2"/>
        <scheme val="minor"/>
      </rPr>
      <t xml:space="preserve"> competência</t>
    </r>
    <r>
      <rPr>
        <b/>
        <sz val="11"/>
        <rFont val="Calibri"/>
        <family val="2"/>
        <scheme val="minor"/>
      </rPr>
      <t xml:space="preserve"> de modelagem do negócio sustentável.</t>
    </r>
  </si>
  <si>
    <r>
      <t xml:space="preserve">Os conhecimentos mais importantes a serem internalizados, devem incluir os relativos à gestão </t>
    </r>
    <r>
      <rPr>
        <b/>
        <sz val="11"/>
        <color rgb="FF0070C0"/>
        <rFont val="Calibri"/>
        <family val="2"/>
        <scheme val="minor"/>
      </rPr>
      <t>e aplicação</t>
    </r>
    <r>
      <rPr>
        <b/>
        <sz val="11"/>
        <rFont val="Calibri"/>
        <family val="2"/>
        <scheme val="minor"/>
      </rPr>
      <t xml:space="preserve"> da I.A.</t>
    </r>
  </si>
  <si>
    <t>Especialistas devem participar da identificação de conhecimentos mais importantes que precisam ser internalizados e de sua priorização.</t>
  </si>
  <si>
    <r>
      <t xml:space="preserve">A necessidade de internalização de conhecimentos mais importantes deve considerar </t>
    </r>
    <r>
      <rPr>
        <b/>
        <i/>
        <sz val="11"/>
        <rFont val="Calibri"/>
        <family val="2"/>
        <scheme val="minor"/>
      </rPr>
      <t>riscos</t>
    </r>
    <r>
      <rPr>
        <b/>
        <sz val="11"/>
        <rFont val="Calibri"/>
        <family val="2"/>
        <scheme val="minor"/>
      </rPr>
      <t xml:space="preserve"> de dependência de pessoas e </t>
    </r>
    <r>
      <rPr>
        <b/>
        <i/>
        <sz val="11"/>
        <rFont val="Calibri"/>
        <family val="2"/>
        <scheme val="minor"/>
      </rPr>
      <t>fornecedores</t>
    </r>
    <r>
      <rPr>
        <b/>
        <sz val="11"/>
        <rFont val="Calibri"/>
        <family val="2"/>
        <scheme val="minor"/>
      </rPr>
      <t xml:space="preserve">. </t>
    </r>
  </si>
  <si>
    <t xml:space="preserve">Os principais aspectos relativos à internalização dos conhecimentos mais importantes devem ser identificados. </t>
  </si>
  <si>
    <t>5.1b</t>
  </si>
  <si>
    <t>b) Internalização do conhecimento</t>
  </si>
  <si>
    <r>
      <t xml:space="preserve">Tem as finalidades de </t>
    </r>
    <r>
      <rPr>
        <b/>
        <u/>
        <sz val="10"/>
        <rFont val="Calibri"/>
        <family val="2"/>
        <scheme val="minor"/>
      </rPr>
      <t>captar</t>
    </r>
    <r>
      <rPr>
        <b/>
        <sz val="10"/>
        <rFont val="Calibri"/>
        <family val="2"/>
        <scheme val="minor"/>
      </rPr>
      <t xml:space="preserve">, </t>
    </r>
    <r>
      <rPr>
        <b/>
        <u/>
        <sz val="10"/>
        <rFont val="Calibri"/>
        <family val="2"/>
        <scheme val="minor"/>
      </rPr>
      <t>desenvolver</t>
    </r>
    <r>
      <rPr>
        <b/>
        <sz val="10"/>
        <rFont val="Calibri"/>
        <family val="2"/>
        <scheme val="minor"/>
      </rPr>
      <t xml:space="preserve">, </t>
    </r>
    <r>
      <rPr>
        <b/>
        <u/>
        <sz val="10"/>
        <rFont val="Calibri"/>
        <family val="2"/>
        <scheme val="minor"/>
      </rPr>
      <t>ampliar</t>
    </r>
    <r>
      <rPr>
        <b/>
        <sz val="10"/>
        <rFont val="Calibri"/>
        <family val="2"/>
        <scheme val="minor"/>
      </rPr>
      <t xml:space="preserve">, </t>
    </r>
    <r>
      <rPr>
        <b/>
        <u/>
        <sz val="10"/>
        <rFont val="Calibri"/>
        <family val="2"/>
        <scheme val="minor"/>
      </rPr>
      <t>aplicar</t>
    </r>
    <r>
      <rPr>
        <b/>
        <sz val="10"/>
        <rFont val="Calibri"/>
        <family val="2"/>
        <scheme val="minor"/>
      </rPr>
      <t xml:space="preserve">, </t>
    </r>
    <r>
      <rPr>
        <b/>
        <u/>
        <sz val="10"/>
        <rFont val="Calibri"/>
        <family val="2"/>
        <scheme val="minor"/>
      </rPr>
      <t>disseminar</t>
    </r>
    <r>
      <rPr>
        <b/>
        <sz val="10"/>
        <rFont val="Calibri"/>
        <family val="2"/>
        <scheme val="minor"/>
      </rPr>
      <t xml:space="preserve"> e </t>
    </r>
    <r>
      <rPr>
        <b/>
        <u/>
        <sz val="10"/>
        <rFont val="Calibri"/>
        <family val="2"/>
        <scheme val="minor"/>
      </rPr>
      <t>proteger</t>
    </r>
    <r>
      <rPr>
        <b/>
        <sz val="10"/>
        <color rgb="FF0070C0"/>
        <rFont val="Calibri"/>
        <family val="2"/>
        <scheme val="minor"/>
      </rPr>
      <t xml:space="preserve">157 </t>
    </r>
    <r>
      <rPr>
        <b/>
        <sz val="10"/>
        <rFont val="Calibri"/>
        <family val="2"/>
        <scheme val="minor"/>
      </rPr>
      <t xml:space="preserve">os conhecimentos essenciais na organização a fim de se obter, desenvolver e reter, as </t>
    </r>
    <r>
      <rPr>
        <b/>
        <i/>
        <sz val="10"/>
        <rFont val="Calibri"/>
        <family val="2"/>
        <scheme val="minor"/>
      </rPr>
      <t>competências essenciais</t>
    </r>
    <r>
      <rPr>
        <b/>
        <sz val="10"/>
        <rFont val="Calibri"/>
        <family val="2"/>
        <scheme val="minor"/>
      </rPr>
      <t xml:space="preserve"> para o êxito das </t>
    </r>
    <r>
      <rPr>
        <b/>
        <i/>
        <sz val="10"/>
        <rFont val="Calibri"/>
        <family val="2"/>
        <scheme val="minor"/>
      </rPr>
      <t>estratégias</t>
    </r>
    <r>
      <rPr>
        <b/>
        <sz val="10"/>
        <rFont val="Calibri"/>
        <family val="2"/>
        <scheme val="minor"/>
      </rPr>
      <t>.</t>
    </r>
  </si>
  <si>
    <r>
      <t>A busca de conhecimentos voltados à excelência em gestão e à modelagem do negócio sustentável deve utilizar fontes</t>
    </r>
    <r>
      <rPr>
        <b/>
        <sz val="11"/>
        <color rgb="FF0070C0"/>
        <rFont val="Calibri"/>
        <family val="2"/>
        <scheme val="minor"/>
      </rPr>
      <t>158</t>
    </r>
    <r>
      <rPr>
        <b/>
        <sz val="11"/>
        <rFont val="Calibri"/>
        <family val="2"/>
        <scheme val="minor"/>
      </rPr>
      <t xml:space="preserve"> de informação sobre melhores práticas.</t>
    </r>
  </si>
  <si>
    <r>
      <t>Um ambiente</t>
    </r>
    <r>
      <rPr>
        <b/>
        <sz val="11"/>
        <color rgb="FF0070C0"/>
        <rFont val="Calibri"/>
        <family val="2"/>
        <scheme val="minor"/>
      </rPr>
      <t>159</t>
    </r>
    <r>
      <rPr>
        <b/>
        <sz val="11"/>
        <rFont val="Calibri"/>
        <family val="2"/>
        <scheme val="minor"/>
      </rPr>
      <t xml:space="preserve"> favorável à geração, intercâmbio e disseminação do conhecimento deve ser disponibilizado.</t>
    </r>
  </si>
  <si>
    <r>
      <t xml:space="preserve">Os conhecimentos </t>
    </r>
    <r>
      <rPr>
        <b/>
        <sz val="11"/>
        <color rgb="FF0070C0"/>
        <rFont val="Calibri"/>
        <family val="2"/>
        <scheme val="minor"/>
      </rPr>
      <t>sobre</t>
    </r>
    <r>
      <rPr>
        <b/>
        <sz val="11"/>
        <rFont val="Calibri"/>
        <family val="2"/>
        <scheme val="minor"/>
      </rPr>
      <t xml:space="preserve"> gestão devem ser internalizados por meio da execução de planos de melhoria da gestão.</t>
    </r>
  </si>
  <si>
    <r>
      <t>A busca de conhecimentos voltados à excelência em gestão e à modelagem do negócio sustentável deve utilizar fontes</t>
    </r>
    <r>
      <rPr>
        <b/>
        <sz val="11"/>
        <color rgb="FF0070C0"/>
        <rFont val="Calibri"/>
        <family val="2"/>
        <scheme val="minor"/>
      </rPr>
      <t>160</t>
    </r>
    <r>
      <rPr>
        <b/>
        <sz val="11"/>
        <rFont val="Calibri"/>
        <family val="2"/>
        <scheme val="minor"/>
      </rPr>
      <t xml:space="preserve">  de informação sobre referenciais</t>
    </r>
    <r>
      <rPr>
        <b/>
        <sz val="11"/>
        <color rgb="FF0070C0"/>
        <rFont val="Calibri"/>
        <family val="2"/>
        <scheme val="minor"/>
      </rPr>
      <t>161</t>
    </r>
    <r>
      <rPr>
        <b/>
        <sz val="11"/>
        <rFont val="Calibri"/>
        <family val="2"/>
        <scheme val="minor"/>
      </rPr>
      <t xml:space="preserve"> comparativos pertinentes.</t>
    </r>
  </si>
  <si>
    <t>Especialistas devem participar da internalização de conhecimentos essenciais, compartilhando competências e experiências, e da padronização de processos.</t>
  </si>
  <si>
    <r>
      <t xml:space="preserve">Devem ser realizados projetos </t>
    </r>
    <r>
      <rPr>
        <b/>
        <sz val="11"/>
        <color rgb="FF0070C0"/>
        <rFont val="Calibri"/>
        <family val="2"/>
        <scheme val="minor"/>
      </rPr>
      <t>em</t>
    </r>
    <r>
      <rPr>
        <b/>
        <sz val="11"/>
        <rFont val="Calibri"/>
        <family val="2"/>
        <scheme val="minor"/>
      </rPr>
      <t xml:space="preserve"> parceria </t>
    </r>
    <r>
      <rPr>
        <b/>
        <sz val="11"/>
        <color rgb="FF0070C0"/>
        <rFont val="Calibri"/>
        <family val="2"/>
        <scheme val="minor"/>
      </rPr>
      <t>com a academia ou outras organizações</t>
    </r>
    <r>
      <rPr>
        <b/>
        <sz val="11"/>
        <rFont val="Calibri"/>
        <family val="2"/>
        <scheme val="minor"/>
      </rPr>
      <t xml:space="preserve">, que propiciam o desenvolvimento do conhecimento </t>
    </r>
    <r>
      <rPr>
        <b/>
        <sz val="11"/>
        <color rgb="FF0070C0"/>
        <rFont val="Calibri"/>
        <family val="2"/>
        <scheme val="minor"/>
      </rPr>
      <t>em benefício mútuo</t>
    </r>
    <r>
      <rPr>
        <b/>
        <sz val="11"/>
        <rFont val="Calibri"/>
        <family val="2"/>
        <scheme val="minor"/>
      </rPr>
      <t xml:space="preserve">. </t>
    </r>
  </si>
  <si>
    <r>
      <t xml:space="preserve">As melhores práticas de modelagem de negócios sustentáveis utilizados no mercado, devem ser monitoradas e avaliadas quanto à sua aplicabilidade </t>
    </r>
    <r>
      <rPr>
        <b/>
        <sz val="11"/>
        <color rgb="FF0070C0"/>
        <rFont val="Calibri"/>
        <family val="2"/>
        <scheme val="minor"/>
      </rPr>
      <t>na organização</t>
    </r>
    <r>
      <rPr>
        <b/>
        <sz val="11"/>
        <rFont val="Calibri"/>
        <family val="2"/>
        <scheme val="minor"/>
      </rPr>
      <t>.</t>
    </r>
  </si>
  <si>
    <r>
      <t>O acervo de conhecimento, com padrões e lições aprendidas, deve ser acessível por meio de mecanismo de busca inteligente</t>
    </r>
    <r>
      <rPr>
        <b/>
        <sz val="11"/>
        <color rgb="FF0070C0"/>
        <rFont val="Calibri"/>
        <family val="2"/>
        <scheme val="minor"/>
      </rPr>
      <t>162</t>
    </r>
    <r>
      <rPr>
        <b/>
        <sz val="11"/>
        <rFont val="Calibri"/>
        <family val="2"/>
        <scheme val="minor"/>
      </rPr>
      <t>.</t>
    </r>
  </si>
  <si>
    <t>A redundância de especialistas deve ser incentivada e seus conhecimentos devem ser mantidos de forma catalogada, possibilitando pronto acesso a eles.</t>
  </si>
  <si>
    <t>A busca por melhores práticas de modelagem de negócios sustentáveis no mercado deve ser priorizada pelas áreas e realizada conforme um plano.</t>
  </si>
  <si>
    <r>
      <t>Devem ser realizados projetos em parceria, com a academia, incubadoras, ou instituições</t>
    </r>
    <r>
      <rPr>
        <b/>
        <sz val="11"/>
        <color rgb="FF0070C0"/>
        <rFont val="Calibri"/>
        <family val="2"/>
        <scheme val="minor"/>
      </rPr>
      <t>163</t>
    </r>
    <r>
      <rPr>
        <b/>
        <sz val="11"/>
        <rFont val="Calibri"/>
        <family val="2"/>
        <scheme val="minor"/>
      </rPr>
      <t xml:space="preserve"> especializadas, que propiciam o desenvolvimento do conhecimento em prol da modelagem do negócio sustentável, </t>
    </r>
    <r>
      <rPr>
        <b/>
        <sz val="11"/>
        <color rgb="FF0070C0"/>
        <rFont val="Calibri"/>
        <family val="2"/>
        <scheme val="minor"/>
      </rPr>
      <t>incluindo a temática da descarbonização</t>
    </r>
    <r>
      <rPr>
        <b/>
        <sz val="11"/>
        <rFont val="Calibri"/>
        <family val="2"/>
        <scheme val="minor"/>
      </rPr>
      <t xml:space="preserve">. </t>
    </r>
  </si>
  <si>
    <r>
      <t>A internalização do conhecimento, incluindo sobre gestão, deve ser acompanhada por meio de</t>
    </r>
    <r>
      <rPr>
        <b/>
        <i/>
        <sz val="11"/>
        <rFont val="Calibri"/>
        <family val="2"/>
        <scheme val="minor"/>
      </rPr>
      <t xml:space="preserve"> indicadores</t>
    </r>
    <r>
      <rPr>
        <b/>
        <sz val="11"/>
        <rFont val="Calibri"/>
        <family val="2"/>
        <scheme val="minor"/>
      </rPr>
      <t>.</t>
    </r>
  </si>
  <si>
    <t>5.2</t>
  </si>
  <si>
    <t>5.2 Inovação sustentável</t>
  </si>
  <si>
    <t>5.2a</t>
  </si>
  <si>
    <t xml:space="preserve">a) Fomento da inovação </t>
  </si>
  <si>
    <r>
      <t xml:space="preserve">Tem o objetivo </t>
    </r>
    <r>
      <rPr>
        <b/>
        <u/>
        <sz val="10"/>
        <rFont val="Calibri"/>
        <family val="2"/>
        <scheme val="minor"/>
      </rPr>
      <t>criar</t>
    </r>
    <r>
      <rPr>
        <b/>
        <sz val="10"/>
        <rFont val="Calibri"/>
        <family val="2"/>
        <scheme val="minor"/>
      </rPr>
      <t xml:space="preserve"> um ambiente que favoreça a sugestão de ideias originais</t>
    </r>
    <r>
      <rPr>
        <b/>
        <sz val="10"/>
        <color rgb="FF0070C0"/>
        <rFont val="Calibri"/>
        <family val="2"/>
        <scheme val="minor"/>
      </rPr>
      <t>164</t>
    </r>
    <r>
      <rPr>
        <b/>
        <sz val="10"/>
        <rFont val="Calibri"/>
        <family val="2"/>
        <scheme val="minor"/>
      </rPr>
      <t xml:space="preserve"> ou inusitadas que tenham potencial de se converter em inovações em </t>
    </r>
    <r>
      <rPr>
        <b/>
        <i/>
        <sz val="10"/>
        <rFont val="Calibri"/>
        <family val="2"/>
        <scheme val="minor"/>
      </rPr>
      <t>produtos</t>
    </r>
    <r>
      <rPr>
        <b/>
        <sz val="10"/>
        <rFont val="Calibri"/>
        <family val="2"/>
        <scheme val="minor"/>
      </rPr>
      <t xml:space="preserve"> e processos, solucionando problemas, aproveitando oportunidades ou criando mais valor para </t>
    </r>
    <r>
      <rPr>
        <b/>
        <i/>
        <sz val="10"/>
        <rFont val="Calibri"/>
        <family val="2"/>
        <scheme val="minor"/>
      </rPr>
      <t>partes interessadas</t>
    </r>
    <r>
      <rPr>
        <b/>
        <sz val="10"/>
        <rFont val="Calibri"/>
        <family val="2"/>
        <scheme val="minor"/>
      </rPr>
      <t xml:space="preserve">, enfatizando a gestão e a modelagem do negócio sustentável. </t>
    </r>
  </si>
  <si>
    <r>
      <t>Citar duas</t>
    </r>
    <r>
      <rPr>
        <b/>
        <i/>
        <sz val="11"/>
        <rFont val="Calibri"/>
        <family val="2"/>
        <scheme val="minor"/>
      </rPr>
      <t xml:space="preserve"> inovações</t>
    </r>
    <r>
      <rPr>
        <b/>
        <sz val="11"/>
        <rFont val="Calibri"/>
        <family val="2"/>
        <scheme val="minor"/>
      </rPr>
      <t xml:space="preserve"> mais importantes, de qualquer tipo, incorporadas no último ano.</t>
    </r>
  </si>
  <si>
    <r>
      <t xml:space="preserve">O potencial criativo da </t>
    </r>
    <r>
      <rPr>
        <b/>
        <i/>
        <sz val="11"/>
        <rFont val="Calibri"/>
        <family val="2"/>
        <scheme val="minor"/>
      </rPr>
      <t>força de trabalho</t>
    </r>
    <r>
      <rPr>
        <b/>
        <sz val="11"/>
        <rFont val="Calibri"/>
        <family val="2"/>
        <scheme val="minor"/>
      </rPr>
      <t xml:space="preserve"> deve ser desenvolvido e o ambiente</t>
    </r>
    <r>
      <rPr>
        <b/>
        <sz val="11"/>
        <color rgb="FF0070C0"/>
        <rFont val="Calibri"/>
        <family val="2"/>
        <scheme val="minor"/>
      </rPr>
      <t>165</t>
    </r>
    <r>
      <rPr>
        <b/>
        <sz val="11"/>
        <rFont val="Calibri"/>
        <family val="2"/>
        <scheme val="minor"/>
      </rPr>
      <t xml:space="preserve"> favorável à criatividade e integração deve ser proporcionado para as pessoas. </t>
    </r>
  </si>
  <si>
    <r>
      <t xml:space="preserve">A </t>
    </r>
    <r>
      <rPr>
        <b/>
        <i/>
        <sz val="11"/>
        <rFont val="Calibri"/>
        <family val="2"/>
        <scheme val="minor"/>
      </rPr>
      <t>força de trabalho</t>
    </r>
    <r>
      <rPr>
        <b/>
        <sz val="11"/>
        <rFont val="Calibri"/>
        <family val="2"/>
        <scheme val="minor"/>
      </rPr>
      <t xml:space="preserve"> deve ser mobilizada</t>
    </r>
    <r>
      <rPr>
        <b/>
        <sz val="11"/>
        <color rgb="FF0070C0"/>
        <rFont val="Calibri"/>
        <family val="2"/>
        <scheme val="minor"/>
      </rPr>
      <t>166</t>
    </r>
    <r>
      <rPr>
        <b/>
        <sz val="11"/>
        <rFont val="Calibri"/>
        <family val="2"/>
        <scheme val="minor"/>
      </rPr>
      <t xml:space="preserve"> a dar sugestões indicando o benefício esperado no desempenho de </t>
    </r>
    <r>
      <rPr>
        <b/>
        <i/>
        <sz val="11"/>
        <rFont val="Calibri"/>
        <family val="2"/>
        <scheme val="minor"/>
      </rPr>
      <t>produtos</t>
    </r>
    <r>
      <rPr>
        <b/>
        <sz val="11"/>
        <rFont val="Calibri"/>
        <family val="2"/>
        <scheme val="minor"/>
      </rPr>
      <t xml:space="preserve"> e processos, inclusive para a modelagem do negócio sustentável.</t>
    </r>
  </si>
  <si>
    <r>
      <t>As sugestões devem passar por triagem e ser encaminhadas para análise</t>
    </r>
    <r>
      <rPr>
        <b/>
        <sz val="11"/>
        <color rgb="FF0070C0"/>
        <rFont val="Calibri"/>
        <family val="2"/>
        <scheme val="minor"/>
      </rPr>
      <t>167</t>
    </r>
    <r>
      <rPr>
        <b/>
        <sz val="11"/>
        <rFont val="Calibri"/>
        <family val="2"/>
        <scheme val="minor"/>
      </rPr>
      <t xml:space="preserve"> e retorno aos autores, solicitando novas informações ou informando o encaminhamento dado ou razão de eventual arquivamento.</t>
    </r>
  </si>
  <si>
    <r>
      <t xml:space="preserve">A busca por </t>
    </r>
    <r>
      <rPr>
        <b/>
        <i/>
        <sz val="11"/>
        <rFont val="Calibri"/>
        <family val="2"/>
        <scheme val="minor"/>
      </rPr>
      <t>inovações</t>
    </r>
    <r>
      <rPr>
        <b/>
        <sz val="11"/>
        <rFont val="Calibri"/>
        <family val="2"/>
        <scheme val="minor"/>
      </rPr>
      <t xml:space="preserve"> deve apoiar o projeto</t>
    </r>
    <r>
      <rPr>
        <b/>
        <sz val="11"/>
        <color rgb="FF0070C0"/>
        <rFont val="Calibri"/>
        <family val="2"/>
        <scheme val="minor"/>
      </rPr>
      <t>168</t>
    </r>
    <r>
      <rPr>
        <b/>
        <sz val="11"/>
        <rFont val="Calibri"/>
        <family val="2"/>
        <scheme val="minor"/>
      </rPr>
      <t xml:space="preserve"> e a melhoria da gestão</t>
    </r>
    <r>
      <rPr>
        <b/>
        <sz val="11"/>
        <color rgb="FF0070C0"/>
        <rFont val="Calibri"/>
        <family val="2"/>
        <scheme val="minor"/>
      </rPr>
      <t>169</t>
    </r>
    <r>
      <rPr>
        <b/>
        <sz val="11"/>
        <rFont val="Calibri"/>
        <family val="2"/>
        <scheme val="minor"/>
      </rPr>
      <t>.</t>
    </r>
  </si>
  <si>
    <t>As sugestões devem ser analisadas, quanto aos graus de viabilidade e de benefício esperado, para definir prioridades e evitar redundâncias.</t>
  </si>
  <si>
    <r>
      <rPr>
        <b/>
        <sz val="11"/>
        <color rgb="FF0070C0"/>
        <rFont val="Calibri"/>
        <family val="2"/>
        <scheme val="minor"/>
      </rPr>
      <t>A sugestões devem</t>
    </r>
    <r>
      <rPr>
        <b/>
        <sz val="11"/>
        <rFont val="Calibri"/>
        <family val="2"/>
        <scheme val="minor"/>
      </rPr>
      <t xml:space="preserve"> considerar a incorporação de </t>
    </r>
    <r>
      <rPr>
        <b/>
        <i/>
        <sz val="11"/>
        <rFont val="Calibri"/>
        <family val="2"/>
        <scheme val="minor"/>
      </rPr>
      <t>tecnologia digital</t>
    </r>
    <r>
      <rPr>
        <b/>
        <sz val="11"/>
        <rFont val="Calibri"/>
        <family val="2"/>
        <scheme val="minor"/>
      </rPr>
      <t xml:space="preserve"> emergente, incluindo I.A.,  e outras tecnologias que aumentem a criação de valor para os clientes e outras </t>
    </r>
    <r>
      <rPr>
        <b/>
        <i/>
        <sz val="11"/>
        <rFont val="Calibri"/>
        <family val="2"/>
        <scheme val="minor"/>
      </rPr>
      <t>partes interessadas</t>
    </r>
    <r>
      <rPr>
        <b/>
        <sz val="11"/>
        <rFont val="Calibri"/>
        <family val="2"/>
        <scheme val="minor"/>
      </rPr>
      <t>.</t>
    </r>
  </si>
  <si>
    <r>
      <t xml:space="preserve">Os </t>
    </r>
    <r>
      <rPr>
        <b/>
        <i/>
        <sz val="11"/>
        <rFont val="Calibri"/>
        <family val="2"/>
        <scheme val="minor"/>
      </rPr>
      <t>clientes</t>
    </r>
    <r>
      <rPr>
        <b/>
        <sz val="11"/>
        <rFont val="Calibri"/>
        <family val="2"/>
        <scheme val="minor"/>
      </rPr>
      <t xml:space="preserve">, </t>
    </r>
    <r>
      <rPr>
        <b/>
        <i/>
        <sz val="11"/>
        <rFont val="Calibri"/>
        <family val="2"/>
        <scheme val="minor"/>
      </rPr>
      <t>fornecedores</t>
    </r>
    <r>
      <rPr>
        <b/>
        <sz val="11"/>
        <rFont val="Calibri"/>
        <family val="2"/>
        <scheme val="minor"/>
      </rPr>
      <t xml:space="preserve">, membros da comunidade e outras </t>
    </r>
    <r>
      <rPr>
        <b/>
        <i/>
        <sz val="11"/>
        <rFont val="Calibri"/>
        <family val="2"/>
        <scheme val="minor"/>
      </rPr>
      <t>partes interessadas</t>
    </r>
    <r>
      <rPr>
        <b/>
        <sz val="11"/>
        <rFont val="Calibri"/>
        <family val="2"/>
        <scheme val="minor"/>
      </rPr>
      <t xml:space="preserve"> </t>
    </r>
    <r>
      <rPr>
        <b/>
        <sz val="11"/>
        <color rgb="FF0070C0"/>
        <rFont val="Calibri"/>
        <family val="2"/>
        <scheme val="minor"/>
      </rPr>
      <t>devem ter</t>
    </r>
    <r>
      <rPr>
        <b/>
        <sz val="11"/>
        <rFont val="Calibri"/>
        <family val="2"/>
        <scheme val="minor"/>
      </rPr>
      <t xml:space="preserve"> canal disponível para envio ou participação em sugestões.</t>
    </r>
  </si>
  <si>
    <t>As sugestões devem ser analisadas considerando o conhecimento sobre soluções para a mesma finalidade ou as melhores práticas de outras organizações.</t>
  </si>
  <si>
    <r>
      <t xml:space="preserve">O fomento a </t>
    </r>
    <r>
      <rPr>
        <b/>
        <i/>
        <sz val="11"/>
        <rFont val="Calibri"/>
        <family val="2"/>
        <scheme val="minor"/>
      </rPr>
      <t>inovações</t>
    </r>
    <r>
      <rPr>
        <b/>
        <sz val="11"/>
        <rFont val="Calibri"/>
        <family val="2"/>
        <scheme val="minor"/>
      </rPr>
      <t xml:space="preserve"> potenciais</t>
    </r>
    <r>
      <rPr>
        <b/>
        <sz val="11"/>
        <color rgb="FF0070C0"/>
        <rFont val="Calibri"/>
        <family val="2"/>
        <scheme val="minor"/>
      </rPr>
      <t>170</t>
    </r>
    <r>
      <rPr>
        <b/>
        <sz val="11"/>
        <rFont val="Calibri"/>
        <family val="2"/>
        <scheme val="minor"/>
      </rPr>
      <t xml:space="preserve"> deve ser avaliado por meio de </t>
    </r>
    <r>
      <rPr>
        <b/>
        <i/>
        <sz val="11"/>
        <rFont val="Calibri"/>
        <family val="2"/>
        <scheme val="minor"/>
      </rPr>
      <t>indicador</t>
    </r>
    <r>
      <rPr>
        <b/>
        <sz val="11"/>
        <rFont val="Calibri"/>
        <family val="2"/>
        <scheme val="minor"/>
      </rPr>
      <t>.</t>
    </r>
  </si>
  <si>
    <r>
      <t xml:space="preserve">A incorporação de </t>
    </r>
    <r>
      <rPr>
        <b/>
        <i/>
        <sz val="11"/>
        <rFont val="Calibri"/>
        <family val="2"/>
        <scheme val="minor"/>
      </rPr>
      <t>inovações</t>
    </r>
    <r>
      <rPr>
        <b/>
        <sz val="11"/>
        <rFont val="Calibri"/>
        <family val="2"/>
        <scheme val="minor"/>
      </rPr>
      <t xml:space="preserve"> deve ser avaliada por meio de</t>
    </r>
    <r>
      <rPr>
        <b/>
        <i/>
        <sz val="11"/>
        <rFont val="Calibri"/>
        <family val="2"/>
        <scheme val="minor"/>
      </rPr>
      <t xml:space="preserve"> indicador</t>
    </r>
    <r>
      <rPr>
        <b/>
        <sz val="11"/>
        <rFont val="Calibri"/>
        <family val="2"/>
        <scheme val="minor"/>
      </rPr>
      <t>.</t>
    </r>
  </si>
  <si>
    <t>5.2b</t>
  </si>
  <si>
    <t xml:space="preserve">b) Experimentação em larga escala </t>
  </si>
  <si>
    <r>
      <t xml:space="preserve">Tem o objetivo de </t>
    </r>
    <r>
      <rPr>
        <b/>
        <u/>
        <sz val="10"/>
        <rFont val="Calibri"/>
        <family val="2"/>
        <scheme val="minor"/>
      </rPr>
      <t>manter</t>
    </r>
    <r>
      <rPr>
        <b/>
        <sz val="10"/>
        <rFont val="Calibri"/>
        <family val="2"/>
        <scheme val="minor"/>
      </rPr>
      <t xml:space="preserve"> uma carteira de pilotos ou experimentos ágeis, seguros e de baixo custo na organização para validar as sugestões de ideias com potencial de se converter em inovações em </t>
    </r>
    <r>
      <rPr>
        <b/>
        <i/>
        <sz val="10"/>
        <rFont val="Calibri"/>
        <family val="2"/>
        <scheme val="minor"/>
      </rPr>
      <t>produtos</t>
    </r>
    <r>
      <rPr>
        <b/>
        <sz val="10"/>
        <rFont val="Calibri"/>
        <family val="2"/>
        <scheme val="minor"/>
      </rPr>
      <t xml:space="preserve"> e processos, enfatizando a gestão e a modelagem do negócio sustentável. </t>
    </r>
  </si>
  <si>
    <t>Dar exemplo de um experimento ou piloto promissor, em estudos.</t>
  </si>
  <si>
    <r>
      <t>Os pilotos e experimentos exitosos realizados devem apoiar o projeto</t>
    </r>
    <r>
      <rPr>
        <b/>
        <sz val="11"/>
        <color rgb="FF0070C0"/>
        <rFont val="Calibri"/>
        <family val="2"/>
        <scheme val="minor"/>
      </rPr>
      <t>171</t>
    </r>
    <r>
      <rPr>
        <b/>
        <sz val="11"/>
        <rFont val="Calibri"/>
        <family val="2"/>
        <scheme val="minor"/>
      </rPr>
      <t xml:space="preserve"> e a melhoria de </t>
    </r>
    <r>
      <rPr>
        <b/>
        <i/>
        <sz val="11"/>
        <rFont val="Calibri"/>
        <family val="2"/>
        <scheme val="minor"/>
      </rPr>
      <t>produtos</t>
    </r>
    <r>
      <rPr>
        <b/>
        <sz val="11"/>
        <rFont val="Calibri"/>
        <family val="2"/>
        <scheme val="minor"/>
      </rPr>
      <t xml:space="preserve"> e processos e da gestão</t>
    </r>
    <r>
      <rPr>
        <b/>
        <sz val="11"/>
        <color rgb="FF0070C0"/>
        <rFont val="Calibri"/>
        <family val="2"/>
        <scheme val="minor"/>
      </rPr>
      <t>172</t>
    </r>
    <r>
      <rPr>
        <b/>
        <sz val="11"/>
        <rFont val="Calibri"/>
        <family val="2"/>
        <scheme val="minor"/>
      </rPr>
      <t>.</t>
    </r>
  </si>
  <si>
    <r>
      <t xml:space="preserve">A </t>
    </r>
    <r>
      <rPr>
        <b/>
        <i/>
        <sz val="11"/>
        <rFont val="Calibri"/>
        <family val="2"/>
        <scheme val="minor"/>
      </rPr>
      <t>força de trabalho</t>
    </r>
    <r>
      <rPr>
        <b/>
        <sz val="11"/>
        <rFont val="Calibri"/>
        <family val="2"/>
        <scheme val="minor"/>
      </rPr>
      <t xml:space="preserve"> deve ser incentivada a propor para análise, juntamente com as sugestões, a descrição de pilotos ou experimentos participativos, que possam dar maior precisão ao resultado potencial da ideia.</t>
    </r>
  </si>
  <si>
    <t>A experimentação deve priorizar a prototipagem, modelagem ou simulação em ambientes controlados que reproduzam com boa aproximação o ambiente real, a fim de reduzir custos de pesquisa e desenvolvimento.</t>
  </si>
  <si>
    <r>
      <t>Deve ser promovido um ambiente favorável e autonomia</t>
    </r>
    <r>
      <rPr>
        <b/>
        <sz val="11"/>
        <color rgb="FF0070C0"/>
        <rFont val="Calibri"/>
        <family val="2"/>
        <scheme val="minor"/>
      </rPr>
      <t>173</t>
    </r>
    <r>
      <rPr>
        <b/>
        <sz val="11"/>
        <rFont val="Calibri"/>
        <family val="2"/>
        <scheme val="minor"/>
      </rPr>
      <t xml:space="preserve"> para o desenvolvimento de pilotos ou experimentos de forma participativa, com avaliação dos </t>
    </r>
    <r>
      <rPr>
        <b/>
        <i/>
        <sz val="11"/>
        <rFont val="Calibri"/>
        <family val="2"/>
        <scheme val="minor"/>
      </rPr>
      <t>riscos</t>
    </r>
    <r>
      <rPr>
        <b/>
        <sz val="11"/>
        <rFont val="Calibri"/>
        <family val="2"/>
        <scheme val="minor"/>
      </rPr>
      <t xml:space="preserve"> associados antes da sua realização e apoiados por especialistas.</t>
    </r>
  </si>
  <si>
    <r>
      <t>Deve ser priorizada a tradução</t>
    </r>
    <r>
      <rPr>
        <b/>
        <sz val="11"/>
        <color rgb="FF0070C0"/>
        <rFont val="Calibri"/>
        <family val="2"/>
        <scheme val="minor"/>
      </rPr>
      <t>174</t>
    </r>
    <r>
      <rPr>
        <b/>
        <sz val="11"/>
        <rFont val="Calibri"/>
        <family val="2"/>
        <scheme val="minor"/>
      </rPr>
      <t xml:space="preserve"> de sugestões recebidas que tenham maior grau de viabilidade e de benefício esperado, em pilotos ou experimentos participativos, ágeis, seguros e de baixo custo, inclusive com o uso da I.A., que possam comprovar o benefício esperado e prever os ganhos com a eventual implantação definitiva.</t>
    </r>
  </si>
  <si>
    <t>Os experimentos ou pilotos devem ter publicidade capaz de atrair pessoas que possam potencializar a criatividade.</t>
  </si>
  <si>
    <t>Os pilotos ou experimentos exitosos devem compor o acervo de inovações potenciais com retorno potencial.</t>
  </si>
  <si>
    <t>As lições aprendidas com pilotos ou experimentos, exitosos ou não, devem ser catalogadas juntamente com os resultados.</t>
  </si>
  <si>
    <r>
      <t xml:space="preserve">A intensidade e êxito da experimentação devem ser avaliados por meio de </t>
    </r>
    <r>
      <rPr>
        <b/>
        <i/>
        <sz val="11"/>
        <rFont val="Calibri"/>
        <family val="2"/>
        <scheme val="minor"/>
      </rPr>
      <t>indicadores</t>
    </r>
    <r>
      <rPr>
        <b/>
        <sz val="11"/>
        <rFont val="Calibri"/>
        <family val="2"/>
        <scheme val="minor"/>
      </rPr>
      <t>.</t>
    </r>
  </si>
  <si>
    <t>5.3</t>
  </si>
  <si>
    <t>5.3 Adaptação digital</t>
  </si>
  <si>
    <t>5.3a</t>
  </si>
  <si>
    <t xml:space="preserve">a) Desenvolvimento do negócio digital  </t>
  </si>
  <si>
    <r>
      <t xml:space="preserve">Tem a finalidade de </t>
    </r>
    <r>
      <rPr>
        <b/>
        <u/>
        <sz val="10"/>
        <rFont val="Calibri"/>
        <family val="2"/>
        <scheme val="minor"/>
      </rPr>
      <t xml:space="preserve">desenvolver </t>
    </r>
    <r>
      <rPr>
        <b/>
        <sz val="10"/>
        <rFont val="Calibri"/>
        <family val="2"/>
        <scheme val="minor"/>
      </rPr>
      <t xml:space="preserve">uma cultura e processos que propiciem a incorporação ágil, permanente e adaptativa da </t>
    </r>
    <r>
      <rPr>
        <b/>
        <i/>
        <sz val="10"/>
        <rFont val="Calibri"/>
        <family val="2"/>
        <scheme val="minor"/>
      </rPr>
      <t>tecnologia digital</t>
    </r>
    <r>
      <rPr>
        <b/>
        <sz val="10"/>
        <rFont val="Calibri"/>
        <family val="2"/>
        <scheme val="minor"/>
      </rPr>
      <t xml:space="preserve"> emergente nos </t>
    </r>
    <r>
      <rPr>
        <b/>
        <i/>
        <sz val="10"/>
        <rFont val="Calibri"/>
        <family val="2"/>
        <scheme val="minor"/>
      </rPr>
      <t>produtos</t>
    </r>
    <r>
      <rPr>
        <b/>
        <sz val="10"/>
        <rFont val="Calibri"/>
        <family val="2"/>
        <scheme val="minor"/>
      </rPr>
      <t xml:space="preserve"> e processos, incluindo para incorporação da I.A. e para administração de dados massivos</t>
    </r>
    <r>
      <rPr>
        <b/>
        <sz val="10"/>
        <color rgb="FF0070C0"/>
        <rFont val="Calibri"/>
        <family val="2"/>
        <scheme val="minor"/>
      </rPr>
      <t>175</t>
    </r>
    <r>
      <rPr>
        <b/>
        <sz val="10"/>
        <rFont val="Calibri"/>
        <family val="2"/>
        <scheme val="minor"/>
      </rPr>
      <t xml:space="preserve">, melhorando o atendimento à demanda por informações, os sistemas de informação existentes, o desempenho dos </t>
    </r>
    <r>
      <rPr>
        <b/>
        <i/>
        <sz val="10"/>
        <rFont val="Calibri"/>
        <family val="2"/>
        <scheme val="minor"/>
      </rPr>
      <t>produtos</t>
    </r>
    <r>
      <rPr>
        <b/>
        <sz val="10"/>
        <rFont val="Calibri"/>
        <family val="2"/>
        <scheme val="minor"/>
      </rPr>
      <t xml:space="preserve"> e processos e a integração digital com </t>
    </r>
    <r>
      <rPr>
        <b/>
        <i/>
        <sz val="10"/>
        <rFont val="Calibri"/>
        <family val="2"/>
        <scheme val="minor"/>
      </rPr>
      <t>clientes</t>
    </r>
    <r>
      <rPr>
        <b/>
        <sz val="10"/>
        <rFont val="Calibri"/>
        <family val="2"/>
        <scheme val="minor"/>
      </rPr>
      <t xml:space="preserve"> e outras </t>
    </r>
    <r>
      <rPr>
        <b/>
        <i/>
        <sz val="10"/>
        <rFont val="Calibri"/>
        <family val="2"/>
        <scheme val="minor"/>
      </rPr>
      <t>partes interessadas</t>
    </r>
    <r>
      <rPr>
        <b/>
        <sz val="10"/>
        <rFont val="Calibri"/>
        <family val="2"/>
        <scheme val="minor"/>
      </rPr>
      <t xml:space="preserve">, enfatizando a gestão e a modelagem do negócio sustentável digital. </t>
    </r>
  </si>
  <si>
    <t>Apresentar as principais tecnologias digitais em uso e sua finalidade.</t>
  </si>
  <si>
    <r>
      <t>Apresentar dois exemplos importantes de melhoria nas operações por meio da</t>
    </r>
    <r>
      <rPr>
        <b/>
        <i/>
        <sz val="11"/>
        <rFont val="Calibri"/>
        <family val="2"/>
        <scheme val="minor"/>
      </rPr>
      <t xml:space="preserve"> tecnologia digital</t>
    </r>
    <r>
      <rPr>
        <b/>
        <sz val="11"/>
        <rFont val="Calibri"/>
        <family val="2"/>
        <scheme val="minor"/>
      </rPr>
      <t>.</t>
    </r>
  </si>
  <si>
    <r>
      <t xml:space="preserve">A infraestrutura de tecnologia de informação e comunicação deve promover a </t>
    </r>
    <r>
      <rPr>
        <b/>
        <i/>
        <sz val="11"/>
        <rFont val="Calibri"/>
        <family val="2"/>
        <scheme val="minor"/>
      </rPr>
      <t>efetividade</t>
    </r>
    <r>
      <rPr>
        <b/>
        <sz val="11"/>
        <rFont val="Calibri"/>
        <family val="2"/>
        <scheme val="minor"/>
      </rPr>
      <t xml:space="preserve"> da coleta de dados, processamento, armazenamento e acesso à informação. </t>
    </r>
  </si>
  <si>
    <r>
      <t>A evolução da</t>
    </r>
    <r>
      <rPr>
        <b/>
        <i/>
        <sz val="11"/>
        <rFont val="Calibri"/>
        <family val="2"/>
        <scheme val="minor"/>
      </rPr>
      <t xml:space="preserve"> tecnologia digital </t>
    </r>
    <r>
      <rPr>
        <b/>
        <sz val="11"/>
        <rFont val="Calibri"/>
        <family val="2"/>
        <scheme val="minor"/>
      </rPr>
      <t xml:space="preserve">emergente, seu potencial e adversidades devem ser acompanhados no mercado, incluindo em outras organizações. </t>
    </r>
  </si>
  <si>
    <r>
      <t xml:space="preserve">A demanda por informações e as oportunidades e custos de incorporação de </t>
    </r>
    <r>
      <rPr>
        <b/>
        <i/>
        <sz val="11"/>
        <rFont val="Calibri"/>
        <family val="2"/>
        <scheme val="minor"/>
      </rPr>
      <t>tecnologia digital</t>
    </r>
    <r>
      <rPr>
        <b/>
        <sz val="11"/>
        <rFont val="Calibri"/>
        <family val="2"/>
        <scheme val="minor"/>
      </rPr>
      <t xml:space="preserve"> emergente, devem ser analisadas a fim de se definir o escopo ótimo para projetos de informatização e de melhorias nos sistemas de informação existentes. </t>
    </r>
  </si>
  <si>
    <r>
      <t xml:space="preserve">Os </t>
    </r>
    <r>
      <rPr>
        <b/>
        <i/>
        <sz val="11"/>
        <rFont val="Calibri"/>
        <family val="2"/>
        <scheme val="minor"/>
      </rPr>
      <t>administradores</t>
    </r>
    <r>
      <rPr>
        <b/>
        <sz val="11"/>
        <rFont val="Calibri"/>
        <family val="2"/>
        <scheme val="minor"/>
      </rPr>
      <t xml:space="preserve"> devem participar da definição de políticas e estabelecimento de metas de </t>
    </r>
    <r>
      <rPr>
        <b/>
        <i/>
        <sz val="11"/>
        <rFont val="Calibri"/>
        <family val="2"/>
        <scheme val="minor"/>
      </rPr>
      <t>adaptação digital</t>
    </r>
    <r>
      <rPr>
        <b/>
        <sz val="11"/>
        <rFont val="Calibri"/>
        <family val="2"/>
        <scheme val="minor"/>
      </rPr>
      <t>.</t>
    </r>
  </si>
  <si>
    <r>
      <t xml:space="preserve">A definição e desenvolvimento de soluções de informatização e de </t>
    </r>
    <r>
      <rPr>
        <b/>
        <i/>
        <sz val="11"/>
        <rFont val="Calibri"/>
        <family val="2"/>
        <scheme val="minor"/>
      </rPr>
      <t>adaptação digital</t>
    </r>
    <r>
      <rPr>
        <b/>
        <sz val="11"/>
        <rFont val="Calibri"/>
        <family val="2"/>
        <scheme val="minor"/>
      </rPr>
      <t xml:space="preserve"> devem utilizar metodologia ágil compatível com o porte e tempestividade requerida. </t>
    </r>
  </si>
  <si>
    <r>
      <t xml:space="preserve">As oportunidades que a </t>
    </r>
    <r>
      <rPr>
        <b/>
        <i/>
        <sz val="11"/>
        <rFont val="Calibri"/>
        <family val="2"/>
        <scheme val="minor"/>
      </rPr>
      <t>tecnologia digital</t>
    </r>
    <r>
      <rPr>
        <b/>
        <sz val="11"/>
        <rFont val="Calibri"/>
        <family val="2"/>
        <scheme val="minor"/>
      </rPr>
      <t xml:space="preserve"> emergente oferece, inclusive aplicações da I.A., devem ser acompanhadas e avaliadas pelas áreas responsáveis e apoiadas por especialistas. </t>
    </r>
  </si>
  <si>
    <r>
      <t xml:space="preserve">A opinião dos usuários e o conhecimento atualizado sobre melhores práticas de outras organizações devem ser utilizados para definição de prioridades de </t>
    </r>
    <r>
      <rPr>
        <b/>
        <i/>
        <sz val="11"/>
        <rFont val="Calibri"/>
        <family val="2"/>
        <scheme val="minor"/>
      </rPr>
      <t>adaptação digital</t>
    </r>
    <r>
      <rPr>
        <b/>
        <sz val="11"/>
        <rFont val="Calibri"/>
        <family val="2"/>
        <scheme val="minor"/>
      </rPr>
      <t xml:space="preserve">. </t>
    </r>
  </si>
  <si>
    <r>
      <t xml:space="preserve">As oportunidades que a </t>
    </r>
    <r>
      <rPr>
        <b/>
        <i/>
        <sz val="11"/>
        <rFont val="Calibri"/>
        <family val="2"/>
        <scheme val="minor"/>
      </rPr>
      <t>tecnologia digital</t>
    </r>
    <r>
      <rPr>
        <b/>
        <sz val="11"/>
        <rFont val="Calibri"/>
        <family val="2"/>
        <scheme val="minor"/>
      </rPr>
      <t xml:space="preserve"> emergente oferece devem ser graduadas em termos de potencial e investimento e os planos de adaptação prioritários devem ser estabelecidos pelas áreas responsáveis. </t>
    </r>
  </si>
  <si>
    <r>
      <t>As mudanças decorrentes da introdução de novas soluções baseadas em</t>
    </r>
    <r>
      <rPr>
        <b/>
        <i/>
        <sz val="11"/>
        <rFont val="Calibri"/>
        <family val="2"/>
        <scheme val="minor"/>
      </rPr>
      <t xml:space="preserve"> tecnologia digital </t>
    </r>
    <r>
      <rPr>
        <b/>
        <sz val="11"/>
        <rFont val="Calibri"/>
        <family val="2"/>
        <scheme val="minor"/>
      </rPr>
      <t xml:space="preserve">devem prevenir e tratar os impactos sociais das mudanças, incluindo recapacitar e realocar as pessoas, avaliar </t>
    </r>
    <r>
      <rPr>
        <b/>
        <i/>
        <sz val="11"/>
        <rFont val="Calibri"/>
        <family val="2"/>
        <scheme val="minor"/>
      </rPr>
      <t>riscos</t>
    </r>
    <r>
      <rPr>
        <b/>
        <sz val="11"/>
        <rFont val="Calibri"/>
        <family val="2"/>
        <scheme val="minor"/>
      </rPr>
      <t xml:space="preserve"> e acompanhar as mudanças. </t>
    </r>
  </si>
  <si>
    <t>Apresentar dois exemplos de I.A. incorporados nos processos de qualquer natureza, mencionando o benefício.</t>
  </si>
  <si>
    <r>
      <t xml:space="preserve">Os planos de </t>
    </r>
    <r>
      <rPr>
        <b/>
        <i/>
        <sz val="11"/>
        <rFont val="Calibri"/>
        <family val="2"/>
        <scheme val="minor"/>
      </rPr>
      <t>adaptação digital</t>
    </r>
    <r>
      <rPr>
        <b/>
        <sz val="11"/>
        <rFont val="Calibri"/>
        <family val="2"/>
        <scheme val="minor"/>
      </rPr>
      <t xml:space="preserve"> devem priorizar a qualidade dos </t>
    </r>
    <r>
      <rPr>
        <b/>
        <i/>
        <sz val="11"/>
        <rFont val="Calibri"/>
        <family val="2"/>
        <scheme val="minor"/>
      </rPr>
      <t>produtos</t>
    </r>
    <r>
      <rPr>
        <b/>
        <sz val="11"/>
        <rFont val="Calibri"/>
        <family val="2"/>
        <scheme val="minor"/>
      </rPr>
      <t xml:space="preserve">, a </t>
    </r>
    <r>
      <rPr>
        <b/>
        <i/>
        <sz val="11"/>
        <rFont val="Calibri"/>
        <family val="2"/>
        <scheme val="minor"/>
      </rPr>
      <t>efetividade</t>
    </r>
    <r>
      <rPr>
        <b/>
        <sz val="11"/>
        <rFont val="Calibri"/>
        <family val="2"/>
        <scheme val="minor"/>
      </rPr>
      <t xml:space="preserve"> do atendimento exclusivo e objetivo</t>
    </r>
    <r>
      <rPr>
        <b/>
        <sz val="11"/>
        <color rgb="FF0070C0"/>
        <rFont val="Calibri"/>
        <family val="2"/>
        <scheme val="minor"/>
      </rPr>
      <t>176</t>
    </r>
    <r>
      <rPr>
        <b/>
        <sz val="11"/>
        <rFont val="Calibri"/>
        <family val="2"/>
        <scheme val="minor"/>
      </rPr>
      <t xml:space="preserve"> aos </t>
    </r>
    <r>
      <rPr>
        <b/>
        <i/>
        <sz val="11"/>
        <rFont val="Calibri"/>
        <family val="2"/>
        <scheme val="minor"/>
      </rPr>
      <t>clientes</t>
    </r>
    <r>
      <rPr>
        <b/>
        <sz val="11"/>
        <rFont val="Calibri"/>
        <family val="2"/>
        <scheme val="minor"/>
      </rPr>
      <t xml:space="preserve">, incluindo o atendimento às suas necessidades, expectativas e predisposições, ações externas de </t>
    </r>
    <r>
      <rPr>
        <b/>
        <i/>
        <sz val="11"/>
        <rFont val="Calibri"/>
        <family val="2"/>
        <scheme val="minor"/>
      </rPr>
      <t>governança</t>
    </r>
    <r>
      <rPr>
        <b/>
        <sz val="11"/>
        <rFont val="Calibri"/>
        <family val="2"/>
        <scheme val="minor"/>
      </rPr>
      <t xml:space="preserve"> e socioambientais mais importantes e processos de gestão críticos.</t>
    </r>
  </si>
  <si>
    <r>
      <t xml:space="preserve">A </t>
    </r>
    <r>
      <rPr>
        <b/>
        <i/>
        <sz val="11"/>
        <rFont val="Calibri"/>
        <family val="2"/>
        <scheme val="minor"/>
      </rPr>
      <t>adaptação digital</t>
    </r>
    <r>
      <rPr>
        <b/>
        <sz val="11"/>
        <rFont val="Calibri"/>
        <family val="2"/>
        <scheme val="minor"/>
      </rPr>
      <t xml:space="preserve">, a experiência digital de usuários e a aplicação da I.A. na gestão devem ser avaliadas por meio de </t>
    </r>
    <r>
      <rPr>
        <b/>
        <i/>
        <sz val="11"/>
        <rFont val="Calibri"/>
        <family val="2"/>
        <scheme val="minor"/>
      </rPr>
      <t>indicadores</t>
    </r>
    <r>
      <rPr>
        <b/>
        <sz val="11"/>
        <rFont val="Calibri"/>
        <family val="2"/>
        <scheme val="minor"/>
      </rPr>
      <t>.</t>
    </r>
  </si>
  <si>
    <t>5.3b</t>
  </si>
  <si>
    <t xml:space="preserve">b) Segurança digital  </t>
  </si>
  <si>
    <r>
      <t xml:space="preserve">Tem a finalidade de </t>
    </r>
    <r>
      <rPr>
        <b/>
        <u/>
        <sz val="10"/>
        <rFont val="Calibri"/>
        <family val="2"/>
        <scheme val="minor"/>
      </rPr>
      <t>manter</t>
    </r>
    <r>
      <rPr>
        <b/>
        <sz val="10"/>
        <rFont val="Calibri"/>
        <family val="2"/>
        <scheme val="minor"/>
      </rPr>
      <t xml:space="preserve"> um ambiente seguro de coleta, recebimento, tratamento, armazenamento, proteção e comunicação de informações no âmbito dos processos da organização, incluindo quando houver assistência por I.A..</t>
    </r>
  </si>
  <si>
    <t>Citar métodos destinados à prevenção de ciberataques, incluindo os que utilizam a engenharia social177, que requerem capacitação dos usuários.</t>
  </si>
  <si>
    <t>A responsabilidade das pessoas em relação à segurança das informações na organização deve ser estabelecida formalmente, incluindo as informações em dispositivos móveis e de trabalho remoto utilizados.</t>
  </si>
  <si>
    <r>
      <t xml:space="preserve">Os riscos de segurança das informações devem ser tratados, havendo métodos para buscar assegurar a </t>
    </r>
    <r>
      <rPr>
        <b/>
        <i/>
        <sz val="11"/>
        <rFont val="Calibri"/>
        <family val="2"/>
        <scheme val="minor"/>
      </rPr>
      <t>confidencialidade</t>
    </r>
    <r>
      <rPr>
        <b/>
        <sz val="11"/>
        <rFont val="Calibri"/>
        <family val="2"/>
        <scheme val="minor"/>
      </rPr>
      <t xml:space="preserve">, a proteção, a atualização e a </t>
    </r>
    <r>
      <rPr>
        <b/>
        <i/>
        <sz val="11"/>
        <rFont val="Calibri"/>
        <family val="2"/>
        <scheme val="minor"/>
      </rPr>
      <t>integridade</t>
    </r>
    <r>
      <rPr>
        <b/>
        <sz val="11"/>
        <rFont val="Calibri"/>
        <family val="2"/>
        <scheme val="minor"/>
      </rPr>
      <t xml:space="preserve"> das informações, bem como a continuidade dos serviços de informação, devido a panes ou em situações de emergência.</t>
    </r>
  </si>
  <si>
    <r>
      <t xml:space="preserve">A segurança contra risco de perda ou acesso indevido a informações </t>
    </r>
    <r>
      <rPr>
        <b/>
        <sz val="11"/>
        <color rgb="FF0070C0"/>
        <rFont val="Calibri"/>
        <family val="2"/>
        <scheme val="minor"/>
      </rPr>
      <t xml:space="preserve">e ciberataques </t>
    </r>
    <r>
      <rPr>
        <b/>
        <sz val="11"/>
        <rFont val="Calibri"/>
        <family val="2"/>
        <scheme val="minor"/>
      </rPr>
      <t>deve ser avaliada por meio de testes de proteção e de recuperação.</t>
    </r>
  </si>
  <si>
    <t xml:space="preserve">A infraestrutura de tecnologia de informação e comunicação deve promover a segurança das informações. </t>
  </si>
  <si>
    <r>
      <t xml:space="preserve">A </t>
    </r>
    <r>
      <rPr>
        <b/>
        <i/>
        <sz val="11"/>
        <rFont val="Calibri"/>
        <family val="2"/>
        <scheme val="minor"/>
      </rPr>
      <t>tecnologia digital</t>
    </r>
    <r>
      <rPr>
        <b/>
        <sz val="11"/>
        <rFont val="Calibri"/>
        <family val="2"/>
        <scheme val="minor"/>
      </rPr>
      <t xml:space="preserve"> emergente relativa à segurança de informações, seu potencial e </t>
    </r>
    <r>
      <rPr>
        <b/>
        <i/>
        <sz val="11"/>
        <rFont val="Calibri"/>
        <family val="2"/>
        <scheme val="minor"/>
      </rPr>
      <t>riscos</t>
    </r>
    <r>
      <rPr>
        <b/>
        <sz val="11"/>
        <rFont val="Calibri"/>
        <family val="2"/>
        <scheme val="minor"/>
      </rPr>
      <t xml:space="preserve"> devem ser acompanhados no mercado, incluindo </t>
    </r>
    <r>
      <rPr>
        <b/>
        <sz val="11"/>
        <color rgb="FF0070C0"/>
        <rFont val="Calibri"/>
        <family val="2"/>
        <scheme val="minor"/>
      </rPr>
      <t xml:space="preserve">a busca de referenciais </t>
    </r>
    <r>
      <rPr>
        <b/>
        <sz val="11"/>
        <rFont val="Calibri"/>
        <family val="2"/>
        <scheme val="minor"/>
      </rPr>
      <t xml:space="preserve">em outras organizações. </t>
    </r>
  </si>
  <si>
    <r>
      <t xml:space="preserve">Os </t>
    </r>
    <r>
      <rPr>
        <b/>
        <i/>
        <sz val="11"/>
        <rFont val="Calibri"/>
        <family val="2"/>
        <scheme val="minor"/>
      </rPr>
      <t>administradores</t>
    </r>
    <r>
      <rPr>
        <b/>
        <sz val="11"/>
        <rFont val="Calibri"/>
        <family val="2"/>
        <scheme val="minor"/>
      </rPr>
      <t xml:space="preserve"> devem participar da definição de políticas e estabelecimento de metas de segurança digital.</t>
    </r>
  </si>
  <si>
    <r>
      <t xml:space="preserve">A </t>
    </r>
    <r>
      <rPr>
        <b/>
        <i/>
        <sz val="11"/>
        <rFont val="Calibri"/>
        <family val="2"/>
        <scheme val="minor"/>
      </rPr>
      <t>integridade</t>
    </r>
    <r>
      <rPr>
        <b/>
        <sz val="11"/>
        <rFont val="Calibri"/>
        <family val="2"/>
        <scheme val="minor"/>
      </rPr>
      <t xml:space="preserve"> das informações deve ser promovida por meio de mecanismos de verificação de consistência preventiva, no recebimento ou entrada de dados, no armazenamento e geração de informações.</t>
    </r>
  </si>
  <si>
    <r>
      <t xml:space="preserve">A </t>
    </r>
    <r>
      <rPr>
        <b/>
        <i/>
        <sz val="11"/>
        <rFont val="Calibri"/>
        <family val="2"/>
        <scheme val="minor"/>
      </rPr>
      <t>integridade</t>
    </r>
    <r>
      <rPr>
        <b/>
        <sz val="11"/>
        <rFont val="Calibri"/>
        <family val="2"/>
        <scheme val="minor"/>
      </rPr>
      <t xml:space="preserve"> de informações externas e internas utilizadas que foram geradas com assistência da I.A. deve incluir validação humana</t>
    </r>
    <r>
      <rPr>
        <b/>
        <sz val="11"/>
        <color rgb="FF0070C0"/>
        <rFont val="Calibri"/>
        <family val="2"/>
        <scheme val="minor"/>
      </rPr>
      <t>178</t>
    </r>
    <r>
      <rPr>
        <b/>
        <sz val="11"/>
        <rFont val="Calibri"/>
        <family val="2"/>
        <scheme val="minor"/>
      </rPr>
      <t>.</t>
    </r>
  </si>
  <si>
    <t>As diretrizes de concessão e negação de acesso aos sistemas de informação e comunicação da organização devem ser definidas e controladas.</t>
  </si>
  <si>
    <t>As diretrizes de uso de sistemas de terceiros, em nome da organização, e de plataformas de I.A. generativa devem incluir orientações para prevenir o compartilhamento inadvertido de informações de uso restrito.</t>
  </si>
  <si>
    <r>
      <t>A segurança de informações, em seus vários aspectos</t>
    </r>
    <r>
      <rPr>
        <b/>
        <sz val="11"/>
        <color rgb="FF0070C0"/>
        <rFont val="Calibri"/>
        <family val="2"/>
        <scheme val="minor"/>
      </rPr>
      <t>179</t>
    </r>
    <r>
      <rPr>
        <b/>
        <sz val="11"/>
        <rFont val="Calibri"/>
        <family val="2"/>
        <scheme val="minor"/>
      </rPr>
      <t>, deve ser acompanhada por meio de</t>
    </r>
    <r>
      <rPr>
        <b/>
        <i/>
        <sz val="11"/>
        <rFont val="Calibri"/>
        <family val="2"/>
        <scheme val="minor"/>
      </rPr>
      <t xml:space="preserve"> indicadores</t>
    </r>
    <r>
      <rPr>
        <b/>
        <sz val="11"/>
        <rFont val="Calibri"/>
        <family val="2"/>
        <scheme val="minor"/>
      </rPr>
      <t>.</t>
    </r>
  </si>
  <si>
    <t>6.</t>
  </si>
  <si>
    <t>CRITÉRIO 6 - PESSOAS</t>
  </si>
  <si>
    <r>
      <t xml:space="preserve">Este Critério trata da gestão de equipes de alto desempenho e do desenvolvimento de líderes, enfatizando seu papel para o </t>
    </r>
    <r>
      <rPr>
        <i/>
        <sz val="10"/>
        <color theme="1"/>
        <rFont val="Calibri"/>
        <family val="2"/>
        <scheme val="minor"/>
      </rPr>
      <t>desenvolvimento sustentável</t>
    </r>
    <r>
      <rPr>
        <sz val="10"/>
        <color theme="1"/>
        <rFont val="Calibri"/>
        <family val="2"/>
        <scheme val="minor"/>
      </rPr>
      <t xml:space="preserve">.  </t>
    </r>
  </si>
  <si>
    <t>6.1</t>
  </si>
  <si>
    <t>6.1 Equipes de alto desempenho</t>
  </si>
  <si>
    <t>6.1a</t>
  </si>
  <si>
    <t>a) Estruturação das equipes</t>
  </si>
  <si>
    <r>
      <t xml:space="preserve">Tem o objetivo de </t>
    </r>
    <r>
      <rPr>
        <b/>
        <u/>
        <sz val="10"/>
        <rFont val="Calibri"/>
        <family val="2"/>
        <scheme val="minor"/>
      </rPr>
      <t>definir</t>
    </r>
    <r>
      <rPr>
        <b/>
        <sz val="10"/>
        <rFont val="Calibri"/>
        <family val="2"/>
        <scheme val="minor"/>
      </rPr>
      <t xml:space="preserve"> uma estrutura de pessoal otimizada a ser implementada, com perfis e competências necessárias definidas, para as pessoas atuarem com alta performance e com autonomia para autogerenciar e realizar melhorias. </t>
    </r>
  </si>
  <si>
    <t>A estrutura organizacional e equipes multifuncionais devem estar informadas no Perfil.</t>
  </si>
  <si>
    <r>
      <t>O planejamento de quadro e funções e de suas principais competências, deve ser feito em alinhamento ao projeto</t>
    </r>
    <r>
      <rPr>
        <b/>
        <sz val="11"/>
        <color rgb="FF0070C0"/>
        <rFont val="Calibri"/>
        <family val="2"/>
        <scheme val="minor"/>
      </rPr>
      <t>183</t>
    </r>
    <r>
      <rPr>
        <b/>
        <sz val="11"/>
        <rFont val="Calibri"/>
        <family val="2"/>
        <scheme val="minor"/>
      </rPr>
      <t xml:space="preserve"> ou planejamento dos processos, incluindo dos recursos de aumento de produtividade.</t>
    </r>
  </si>
  <si>
    <t>Apresentar as principais competências definidas para as pessoas, em geral.</t>
  </si>
  <si>
    <t>O planejamento de quadro e funções e de suas principais competências deve ser feito considerando medidas de aumento de produtividade associadas ao desenvolvimento das equipes e aos investimentos em automação de processos, operacionais e gerenciais.</t>
  </si>
  <si>
    <r>
      <t>A criação de grupos multifuncionais, temporários ou permanentes, deve ser feita em alinhamento a necessidades de gestão participativa</t>
    </r>
    <r>
      <rPr>
        <b/>
        <sz val="11"/>
        <color rgb="FF0070C0"/>
        <rFont val="Calibri"/>
        <family val="2"/>
        <scheme val="minor"/>
      </rPr>
      <t>184</t>
    </r>
    <r>
      <rPr>
        <b/>
        <sz val="11"/>
        <rFont val="Calibri"/>
        <family val="2"/>
        <scheme val="minor"/>
      </rPr>
      <t xml:space="preserve"> ou de melhoria do desempenho.</t>
    </r>
  </si>
  <si>
    <t>A criação de grupos multifuncionais deve ser feita com base em critérios pré-estabelecidos e com definição de objetivos, metas, áreas representadas pelos membros e suas responsabilidades.</t>
  </si>
  <si>
    <t>O planejamento de quadro deve ser feito com perspectiva de aumento de produtividade no longo prazo.</t>
  </si>
  <si>
    <r>
      <t>O grau de autonomia</t>
    </r>
    <r>
      <rPr>
        <b/>
        <sz val="11"/>
        <color rgb="FF0070C0"/>
        <rFont val="Calibri"/>
        <family val="2"/>
        <scheme val="minor"/>
      </rPr>
      <t>185</t>
    </r>
    <r>
      <rPr>
        <b/>
        <sz val="11"/>
        <rFont val="Calibri"/>
        <family val="2"/>
        <scheme val="minor"/>
      </rPr>
      <t xml:space="preserve"> dos níveis operacionais para se autogerir e melhorar processos deve ser definido. </t>
    </r>
  </si>
  <si>
    <r>
      <t>A autoridade</t>
    </r>
    <r>
      <rPr>
        <b/>
        <sz val="11"/>
        <color rgb="FF0070C0"/>
        <rFont val="Calibri"/>
        <family val="2"/>
        <scheme val="minor"/>
      </rPr>
      <t>186</t>
    </r>
    <r>
      <rPr>
        <b/>
        <sz val="11"/>
        <rFont val="Calibri"/>
        <family val="2"/>
        <scheme val="minor"/>
      </rPr>
      <t xml:space="preserve"> dos responsáveis por processos transversais ou grupos multifuncionais, em relação à estrutura hierárquica, quando houver, deve ser pré-definida.</t>
    </r>
  </si>
  <si>
    <r>
      <t xml:space="preserve">A decisão por terceirizar serviços deve considerar os </t>
    </r>
    <r>
      <rPr>
        <b/>
        <i/>
        <sz val="11"/>
        <color rgb="FF0070C0"/>
        <rFont val="Calibri"/>
        <family val="2"/>
        <scheme val="minor"/>
      </rPr>
      <t>riscos</t>
    </r>
    <r>
      <rPr>
        <b/>
        <sz val="11"/>
        <color rgb="FF0070C0"/>
        <rFont val="Calibri"/>
        <family val="2"/>
        <scheme val="minor"/>
      </rPr>
      <t xml:space="preserve"> envolvidos.</t>
    </r>
  </si>
  <si>
    <r>
      <t>O desempenho da estruturação</t>
    </r>
    <r>
      <rPr>
        <b/>
        <sz val="11"/>
        <color rgb="FF0070C0"/>
        <rFont val="Calibri"/>
        <family val="2"/>
        <scheme val="minor"/>
      </rPr>
      <t>187</t>
    </r>
    <r>
      <rPr>
        <b/>
        <sz val="11"/>
        <rFont val="Calibri"/>
        <family val="2"/>
        <scheme val="minor"/>
      </rPr>
      <t xml:space="preserve"> das equipes deve ser avaliado por meio de </t>
    </r>
    <r>
      <rPr>
        <b/>
        <i/>
        <sz val="11"/>
        <rFont val="Calibri"/>
        <family val="2"/>
        <scheme val="minor"/>
      </rPr>
      <t>indicador</t>
    </r>
    <r>
      <rPr>
        <b/>
        <sz val="11"/>
        <rFont val="Calibri"/>
        <family val="2"/>
        <scheme val="minor"/>
      </rPr>
      <t>.</t>
    </r>
  </si>
  <si>
    <t>6.1b</t>
  </si>
  <si>
    <t>b) Composição de equipes</t>
  </si>
  <si>
    <r>
      <t xml:space="preserve">Tem a finalidade de </t>
    </r>
    <r>
      <rPr>
        <b/>
        <u/>
        <sz val="10"/>
        <rFont val="Calibri"/>
        <family val="2"/>
        <scheme val="minor"/>
      </rPr>
      <t>compor</t>
    </r>
    <r>
      <rPr>
        <b/>
        <sz val="10"/>
        <rFont val="Calibri"/>
        <family val="2"/>
        <scheme val="minor"/>
      </rPr>
      <t xml:space="preserve"> as equipes com pessoas que tenham o perfil e competências atuais e potenciais compatíveis com as necessidades definidas, </t>
    </r>
    <r>
      <rPr>
        <b/>
        <sz val="10"/>
        <color rgb="FF0070C0"/>
        <rFont val="Calibri"/>
        <family val="2"/>
        <scheme val="minor"/>
      </rPr>
      <t>observando</t>
    </r>
    <r>
      <rPr>
        <b/>
        <sz val="10"/>
        <rFont val="Calibri"/>
        <family val="2"/>
        <scheme val="minor"/>
      </rPr>
      <t xml:space="preserve"> políticas </t>
    </r>
    <r>
      <rPr>
        <b/>
        <sz val="10"/>
        <color rgb="FF0070C0"/>
        <rFont val="Calibri"/>
        <family val="2"/>
        <scheme val="minor"/>
      </rPr>
      <t>inclusivas188 e de igualdade</t>
    </r>
    <r>
      <rPr>
        <b/>
        <sz val="10"/>
        <rFont val="Calibri"/>
        <family val="2"/>
        <scheme val="minor"/>
      </rPr>
      <t xml:space="preserve"> de oportunidades no recrutamento, seleção e encarreiramento.</t>
    </r>
  </si>
  <si>
    <r>
      <t>A seleção de candidatos a posições técnicas deve validar seu perfil e competências técnicas e sociais</t>
    </r>
    <r>
      <rPr>
        <b/>
        <sz val="11"/>
        <color rgb="FF0070C0"/>
        <rFont val="Calibri"/>
        <family val="2"/>
        <scheme val="minor"/>
      </rPr>
      <t>189</t>
    </r>
    <r>
      <rPr>
        <b/>
        <sz val="11"/>
        <rFont val="Calibri"/>
        <family val="2"/>
        <scheme val="minor"/>
      </rPr>
      <t xml:space="preserve"> declaradas ou previamente avaliadas</t>
    </r>
    <r>
      <rPr>
        <b/>
        <sz val="11"/>
        <color rgb="FF0070C0"/>
        <rFont val="Calibri"/>
        <family val="2"/>
        <scheme val="minor"/>
      </rPr>
      <t>190</t>
    </r>
    <r>
      <rPr>
        <b/>
        <sz val="11"/>
        <rFont val="Calibri"/>
        <family val="2"/>
        <scheme val="minor"/>
      </rPr>
      <t xml:space="preserve">.  </t>
    </r>
  </si>
  <si>
    <t xml:space="preserve">Os candidatos recrutados e não selecionados devem ser informados do motivo.  </t>
  </si>
  <si>
    <r>
      <t>Os recém-chegados na organização</t>
    </r>
    <r>
      <rPr>
        <b/>
        <sz val="11"/>
        <color rgb="FF0070C0"/>
        <rFont val="Calibri"/>
        <family val="2"/>
        <scheme val="minor"/>
      </rPr>
      <t>191</t>
    </r>
    <r>
      <rPr>
        <b/>
        <sz val="11"/>
        <rFont val="Calibri"/>
        <family val="2"/>
        <scheme val="minor"/>
      </rPr>
      <t xml:space="preserve"> devem ser integrados à cultura organizacional.</t>
    </r>
  </si>
  <si>
    <t>Os recém-chegados para compor equipes devem ser preparados para exercer suas funções, técnicas e comportamentais.</t>
  </si>
  <si>
    <t>As equipes devem ser preparadas para receber recém-chegados que pertecem a grupos minoritários em processo de inclusão.</t>
  </si>
  <si>
    <t>Os recém-chegados para compor equipes devem ser integrados aos principais processos da organização e suas equipes.</t>
  </si>
  <si>
    <t>O período de experiência do recém-chegado deve ser finalizado com retroalimentação formal sobre o seu desempenho.</t>
  </si>
  <si>
    <t>A seleção de candidatos deve considerar as competências definidas para a posição atual e posições futuras.</t>
  </si>
  <si>
    <t>Os interesses e o potencial de encarreiramento do pessoal próprio devem ser mapeados com a participação das pessoas, que devem ser informadas das competências a serem desenvolvidas.</t>
  </si>
  <si>
    <r>
      <t>O desempenho da composição</t>
    </r>
    <r>
      <rPr>
        <b/>
        <sz val="11"/>
        <color rgb="FF0070C0"/>
        <rFont val="Calibri"/>
        <family val="2"/>
        <scheme val="minor"/>
      </rPr>
      <t>192</t>
    </r>
    <r>
      <rPr>
        <b/>
        <sz val="11"/>
        <rFont val="Calibri"/>
        <family val="2"/>
        <scheme val="minor"/>
      </rPr>
      <t xml:space="preserve"> das equipes deve ser avaliado por meio de </t>
    </r>
    <r>
      <rPr>
        <b/>
        <i/>
        <sz val="11"/>
        <rFont val="Calibri"/>
        <family val="2"/>
        <scheme val="minor"/>
      </rPr>
      <t>indicador</t>
    </r>
    <r>
      <rPr>
        <b/>
        <sz val="11"/>
        <rFont val="Calibri"/>
        <family val="2"/>
        <scheme val="minor"/>
      </rPr>
      <t>.</t>
    </r>
  </si>
  <si>
    <t>6.1c</t>
  </si>
  <si>
    <t xml:space="preserve">c) Desenvolvimento de competências das pessoas </t>
  </si>
  <si>
    <r>
      <t xml:space="preserve">Visa a </t>
    </r>
    <r>
      <rPr>
        <b/>
        <u/>
        <sz val="10"/>
        <rFont val="Calibri"/>
        <family val="2"/>
        <scheme val="minor"/>
      </rPr>
      <t>tornar</t>
    </r>
    <r>
      <rPr>
        <b/>
        <sz val="10"/>
        <rFont val="Calibri"/>
        <family val="2"/>
        <scheme val="minor"/>
      </rPr>
      <t xml:space="preserve"> as pessoas capazes de realizar as funções sob sua responsabilidade, </t>
    </r>
    <r>
      <rPr>
        <b/>
        <u/>
        <sz val="10"/>
        <rFont val="Calibri"/>
        <family val="2"/>
        <scheme val="minor"/>
      </rPr>
      <t>melhorar</t>
    </r>
    <r>
      <rPr>
        <b/>
        <sz val="10"/>
        <rFont val="Calibri"/>
        <family val="2"/>
        <scheme val="minor"/>
      </rPr>
      <t xml:space="preserve"> a sua performance individual, na equipe e na organização, viabilizando a aquisição de novas competências e </t>
    </r>
    <r>
      <rPr>
        <b/>
        <u/>
        <sz val="10"/>
        <rFont val="Calibri"/>
        <family val="2"/>
        <scheme val="minor"/>
      </rPr>
      <t>prepará-las</t>
    </r>
    <r>
      <rPr>
        <b/>
        <sz val="10"/>
        <rFont val="Calibri"/>
        <family val="2"/>
        <scheme val="minor"/>
      </rPr>
      <t xml:space="preserve"> para assumir novas e maiores responsabilidades.</t>
    </r>
  </si>
  <si>
    <r>
      <t xml:space="preserve">Citar os principais programas ou ações, em andamento, de </t>
    </r>
    <r>
      <rPr>
        <b/>
        <i/>
        <sz val="11"/>
        <rFont val="Calibri"/>
        <family val="2"/>
        <scheme val="minor"/>
      </rPr>
      <t xml:space="preserve">capacitação ou desenvolvimento </t>
    </r>
    <r>
      <rPr>
        <b/>
        <sz val="11"/>
        <rFont val="Calibri"/>
        <family val="2"/>
        <scheme val="minor"/>
      </rPr>
      <t xml:space="preserve">e a quantidade de pessoas alcançadas. </t>
    </r>
  </si>
  <si>
    <r>
      <t xml:space="preserve">O plano de capacitação e desenvolvimento de pessoas deve ser atualizado </t>
    </r>
    <r>
      <rPr>
        <b/>
        <sz val="11"/>
        <color rgb="FF0070C0"/>
        <rFont val="Calibri"/>
        <family val="2"/>
        <scheme val="minor"/>
      </rPr>
      <t>tempestivamente</t>
    </r>
    <r>
      <rPr>
        <b/>
        <sz val="11"/>
        <rFont val="Calibri"/>
        <family val="2"/>
        <scheme val="minor"/>
      </rPr>
      <t>.</t>
    </r>
  </si>
  <si>
    <r>
      <t>A definição de prioridades de desenvolvimento das pessoas deve se basear em novas necessidades decorrentes do projeto ou planejamento dos processos</t>
    </r>
    <r>
      <rPr>
        <b/>
        <sz val="11"/>
        <color rgb="FF0070C0"/>
        <rFont val="Calibri"/>
        <family val="2"/>
        <scheme val="minor"/>
      </rPr>
      <t>193</t>
    </r>
    <r>
      <rPr>
        <b/>
        <sz val="11"/>
        <rFont val="Calibri"/>
        <family val="2"/>
        <scheme val="minor"/>
      </rPr>
      <t xml:space="preserve"> e na retroalimentação da avaliação de desempenho das pessoas em suas competências reais, com participação de seus líderes.</t>
    </r>
  </si>
  <si>
    <r>
      <t xml:space="preserve">As pessoas devem ser informadas pelas respectivas lideranças sobre as competências técnicas e sociais </t>
    </r>
    <r>
      <rPr>
        <b/>
        <sz val="11"/>
        <color rgb="FF0070C0"/>
        <rFont val="Calibri"/>
        <family val="2"/>
        <scheme val="minor"/>
      </rPr>
      <t>prioritárias que são necessárias</t>
    </r>
    <r>
      <rPr>
        <b/>
        <sz val="11"/>
        <rFont val="Calibri"/>
        <family val="2"/>
        <scheme val="minor"/>
      </rPr>
      <t xml:space="preserve"> para realizar as funções sob sua responsabilidade e que precisam ser desenvolvidas.</t>
    </r>
  </si>
  <si>
    <r>
      <t xml:space="preserve">Os programas de </t>
    </r>
    <r>
      <rPr>
        <b/>
        <i/>
        <sz val="11"/>
        <rFont val="Calibri"/>
        <family val="2"/>
        <scheme val="minor"/>
      </rPr>
      <t>capacitação e desenvolvimento das pessoas</t>
    </r>
    <r>
      <rPr>
        <b/>
        <sz val="11"/>
        <rFont val="Calibri"/>
        <family val="2"/>
        <scheme val="minor"/>
      </rPr>
      <t xml:space="preserve"> devem proporcionar experiências práticas.</t>
    </r>
  </si>
  <si>
    <t>A definição de prioridades de desenvolvimento das pessoas deve incluir a avaliação da contribuição potencial de tecnologias disponíveis para aumento da produtividade e qualidade do trabalho.</t>
  </si>
  <si>
    <r>
      <t>Programas de desenvolvimento comportamental</t>
    </r>
    <r>
      <rPr>
        <b/>
        <sz val="11"/>
        <color rgb="FF0070C0"/>
        <rFont val="Calibri"/>
        <family val="2"/>
        <scheme val="minor"/>
      </rPr>
      <t>194</t>
    </r>
    <r>
      <rPr>
        <b/>
        <sz val="11"/>
        <rFont val="Calibri"/>
        <family val="2"/>
        <scheme val="minor"/>
      </rPr>
      <t xml:space="preserve"> das pessoas devem qualificá-las em habilidades que as tornem mais preparadas para o relacionamento interpessoal. </t>
    </r>
  </si>
  <si>
    <r>
      <t>Programas ou ações de desenvolvimento da cidadania</t>
    </r>
    <r>
      <rPr>
        <b/>
        <sz val="11"/>
        <color rgb="FF0070C0"/>
        <rFont val="Calibri"/>
        <family val="2"/>
        <scheme val="minor"/>
      </rPr>
      <t>195</t>
    </r>
    <r>
      <rPr>
        <b/>
        <sz val="11"/>
        <rFont val="Calibri"/>
        <family val="2"/>
        <scheme val="minor"/>
      </rPr>
      <t xml:space="preserve"> das pessoas devem qualificá-las em habilidades que as tornem mais preparadas para o exercício da ética e da cidadania na comunidade. </t>
    </r>
  </si>
  <si>
    <t>O desenvolvimento da carreira profissional das pessoas deve ser promovido de forma integrada, harmonizando interesses das pessoas e necessidades da organização no longo prazo.</t>
  </si>
  <si>
    <t>As pessoas devem ser incentivadas e possuir um plano de autodesenvolvimento.</t>
  </si>
  <si>
    <r>
      <t>Programas de desenvolvimento profissional</t>
    </r>
    <r>
      <rPr>
        <b/>
        <sz val="11"/>
        <color rgb="FF0070C0"/>
        <rFont val="Calibri"/>
        <family val="2"/>
        <scheme val="minor"/>
      </rPr>
      <t>196</t>
    </r>
    <r>
      <rPr>
        <b/>
        <sz val="11"/>
        <rFont val="Calibri"/>
        <family val="2"/>
        <scheme val="minor"/>
      </rPr>
      <t xml:space="preserve"> das pessoas devem qualificá-las em novas habilidades que as tornem mais preparadas profissionalmente, independentemente das funções que exercem. </t>
    </r>
  </si>
  <si>
    <t>A organização deve aplicar métodos para reorientação de carreira, aconselhamento profissional ou aumento da empregabilidade de pessoas cujas funções têm maior risco de serem afetadas por mudanças.</t>
  </si>
  <si>
    <r>
      <t xml:space="preserve">A efetividade do desenvolvimento de competências das pessoas, por meio da </t>
    </r>
    <r>
      <rPr>
        <b/>
        <i/>
        <sz val="11"/>
        <rFont val="Calibri"/>
        <family val="2"/>
        <scheme val="minor"/>
      </rPr>
      <t>capacitação e desenvolvimento</t>
    </r>
    <r>
      <rPr>
        <b/>
        <sz val="11"/>
        <rFont val="Calibri"/>
        <family val="2"/>
        <scheme val="minor"/>
      </rPr>
      <t xml:space="preserve">, deve ser avaliada por meio de </t>
    </r>
    <r>
      <rPr>
        <b/>
        <i/>
        <sz val="11"/>
        <rFont val="Calibri"/>
        <family val="2"/>
        <scheme val="minor"/>
      </rPr>
      <t>indicadores</t>
    </r>
    <r>
      <rPr>
        <b/>
        <sz val="11"/>
        <rFont val="Calibri"/>
        <family val="2"/>
        <scheme val="minor"/>
      </rPr>
      <t>.</t>
    </r>
  </si>
  <si>
    <t>6.1d</t>
  </si>
  <si>
    <r>
      <t>d) Tratamento dos perigos e riscos</t>
    </r>
    <r>
      <rPr>
        <b/>
        <sz val="10"/>
        <color rgb="FF0070C0"/>
        <rFont val="Calibri"/>
        <family val="2"/>
        <scheme val="minor"/>
      </rPr>
      <t>174</t>
    </r>
    <r>
      <rPr>
        <b/>
        <sz val="10"/>
        <rFont val="Calibri"/>
        <family val="2"/>
        <scheme val="minor"/>
      </rPr>
      <t xml:space="preserve"> de saúde e à segurança</t>
    </r>
  </si>
  <si>
    <r>
      <t xml:space="preserve">Tem as finalidades de buscar </t>
    </r>
    <r>
      <rPr>
        <b/>
        <u/>
        <sz val="10"/>
        <rFont val="Calibri"/>
        <family val="2"/>
        <scheme val="minor"/>
      </rPr>
      <t>assegurar</t>
    </r>
    <r>
      <rPr>
        <b/>
        <sz val="10"/>
        <rFont val="Calibri"/>
        <family val="2"/>
        <scheme val="minor"/>
      </rPr>
      <t xml:space="preserve"> a integridade física e mental das pessoas e </t>
    </r>
    <r>
      <rPr>
        <b/>
        <u/>
        <sz val="10"/>
        <rFont val="Calibri"/>
        <family val="2"/>
        <scheme val="minor"/>
      </rPr>
      <t>estabelecer</t>
    </r>
    <r>
      <rPr>
        <b/>
        <sz val="10"/>
        <rFont val="Calibri"/>
        <family val="2"/>
        <scheme val="minor"/>
      </rPr>
      <t xml:space="preserve"> fatores de desempenho associados à saúde e segurança ocupacional da </t>
    </r>
    <r>
      <rPr>
        <b/>
        <i/>
        <sz val="10"/>
        <rFont val="Calibri"/>
        <family val="2"/>
        <scheme val="minor"/>
      </rPr>
      <t>força de trabalho</t>
    </r>
    <r>
      <rPr>
        <b/>
        <sz val="10"/>
        <rFont val="Calibri"/>
        <family val="2"/>
        <scheme val="minor"/>
      </rPr>
      <t xml:space="preserve">, observando normas e as boas práticas. </t>
    </r>
  </si>
  <si>
    <t>Citar quais e quando ocorreram os dois últimos acidentes com afastamento e as medidas preventivas desencadeadas.</t>
  </si>
  <si>
    <t>O tratamento dos perigos e riscos à saúde e segurança ocupacional deve incluir a permanente educação e o desenvolvimento da prontidão para emergências.</t>
  </si>
  <si>
    <r>
      <t xml:space="preserve">O desempenho do tratamento dos perigos e </t>
    </r>
    <r>
      <rPr>
        <b/>
        <i/>
        <sz val="11"/>
        <rFont val="Calibri"/>
        <family val="2"/>
        <scheme val="minor"/>
      </rPr>
      <t>riscos</t>
    </r>
    <r>
      <rPr>
        <b/>
        <sz val="11"/>
        <rFont val="Calibri"/>
        <family val="2"/>
        <scheme val="minor"/>
      </rPr>
      <t xml:space="preserve"> relacionados à saúde e segurança da </t>
    </r>
    <r>
      <rPr>
        <b/>
        <i/>
        <sz val="11"/>
        <rFont val="Calibri"/>
        <family val="2"/>
        <scheme val="minor"/>
      </rPr>
      <t>força de trabalho</t>
    </r>
    <r>
      <rPr>
        <b/>
        <sz val="11"/>
        <rFont val="Calibri"/>
        <family val="2"/>
        <scheme val="minor"/>
      </rPr>
      <t xml:space="preserve"> deve ser avaliado por meio de </t>
    </r>
    <r>
      <rPr>
        <b/>
        <i/>
        <sz val="11"/>
        <rFont val="Calibri"/>
        <family val="2"/>
        <scheme val="minor"/>
      </rPr>
      <t>indicadores</t>
    </r>
    <r>
      <rPr>
        <b/>
        <sz val="11"/>
        <rFont val="Calibri"/>
        <family val="2"/>
        <scheme val="minor"/>
      </rPr>
      <t>.</t>
    </r>
  </si>
  <si>
    <r>
      <t xml:space="preserve">Os perigos e </t>
    </r>
    <r>
      <rPr>
        <b/>
        <i/>
        <sz val="11"/>
        <rFont val="Calibri"/>
        <family val="2"/>
        <scheme val="minor"/>
      </rPr>
      <t xml:space="preserve">riscos </t>
    </r>
    <r>
      <rPr>
        <b/>
        <sz val="11"/>
        <color rgb="FF0070C0"/>
        <rFont val="Calibri"/>
        <family val="2"/>
        <scheme val="minor"/>
      </rPr>
      <t>relacionados</t>
    </r>
    <r>
      <rPr>
        <b/>
        <i/>
        <sz val="11"/>
        <color rgb="FF0070C0"/>
        <rFont val="Calibri"/>
        <family val="2"/>
        <scheme val="minor"/>
      </rPr>
      <t xml:space="preserve"> </t>
    </r>
    <r>
      <rPr>
        <b/>
        <sz val="11"/>
        <rFont val="Calibri"/>
        <family val="2"/>
        <scheme val="minor"/>
      </rPr>
      <t xml:space="preserve">à saúde e segurança devem ser mapeados e tratados com a participação da </t>
    </r>
    <r>
      <rPr>
        <b/>
        <i/>
        <sz val="11"/>
        <rFont val="Calibri"/>
        <family val="2"/>
        <scheme val="minor"/>
      </rPr>
      <t>força de trabalho</t>
    </r>
    <r>
      <rPr>
        <b/>
        <sz val="11"/>
        <rFont val="Calibri"/>
        <family val="2"/>
        <scheme val="minor"/>
      </rPr>
      <t>, considerando as mudanças do ambiente físico e das operações.</t>
    </r>
  </si>
  <si>
    <t>A organização deve assegurar que o emprego de ferramentas ou equipamentos operados por pessoas e a execução de tarefas sejam acompanhados das respectivas medidas de proteção.</t>
  </si>
  <si>
    <t>As metas para eliminação ou mitigação dos riscos de saúde e segurança ocupacional devem ser definidas.</t>
  </si>
  <si>
    <t>A prontidão para emergências em acidentes com pessoas e de evacuação das instalações deve ser testada por meio de exercícios.</t>
  </si>
  <si>
    <r>
      <t>A possível subnotificação</t>
    </r>
    <r>
      <rPr>
        <b/>
        <sz val="11"/>
        <color rgb="FF0070C0"/>
        <rFont val="Calibri"/>
        <family val="2"/>
        <scheme val="minor"/>
      </rPr>
      <t>175</t>
    </r>
    <r>
      <rPr>
        <b/>
        <sz val="11"/>
        <rFont val="Calibri"/>
        <family val="2"/>
        <scheme val="minor"/>
      </rPr>
      <t xml:space="preserve"> de ocorrências de acidentes e de quase acidentes deve ser monitorada</t>
    </r>
    <r>
      <rPr>
        <b/>
        <sz val="11"/>
        <color rgb="FF0070C0"/>
        <rFont val="Calibri"/>
        <family val="2"/>
        <scheme val="minor"/>
      </rPr>
      <t>176</t>
    </r>
    <r>
      <rPr>
        <b/>
        <sz val="11"/>
        <rFont val="Calibri"/>
        <family val="2"/>
        <scheme val="minor"/>
      </rPr>
      <t xml:space="preserve"> e tratada com contramedidas preventivas.</t>
    </r>
  </si>
  <si>
    <r>
      <t xml:space="preserve">Os acidentes com afastamento devem ser prontamente notificados à </t>
    </r>
    <r>
      <rPr>
        <b/>
        <i/>
        <sz val="11"/>
        <rFont val="Calibri"/>
        <family val="2"/>
        <scheme val="minor"/>
      </rPr>
      <t>direção</t>
    </r>
    <r>
      <rPr>
        <b/>
        <sz val="11"/>
        <rFont val="Calibri"/>
        <family val="2"/>
        <scheme val="minor"/>
      </rPr>
      <t xml:space="preserve"> com as respectivas contramedidas em andamento.</t>
    </r>
  </si>
  <si>
    <t>O bem-estar das pessoas fora do ambiente de trabalho, em trânsito ou em trabalho remoto deve ser acompanhado e orientado.</t>
  </si>
  <si>
    <r>
      <t xml:space="preserve">A prontidão para emergências em acidentes com pessoas e de evacuação das instalações, reais ou em exercícios, deve ser avaliada por meio de </t>
    </r>
    <r>
      <rPr>
        <b/>
        <i/>
        <sz val="11"/>
        <rFont val="Calibri"/>
        <family val="2"/>
        <scheme val="minor"/>
      </rPr>
      <t>indicadores</t>
    </r>
    <r>
      <rPr>
        <b/>
        <sz val="11"/>
        <rFont val="Calibri"/>
        <family val="2"/>
        <scheme val="minor"/>
      </rPr>
      <t xml:space="preserve"> reportados à</t>
    </r>
    <r>
      <rPr>
        <b/>
        <i/>
        <sz val="11"/>
        <rFont val="Calibri"/>
        <family val="2"/>
        <scheme val="minor"/>
      </rPr>
      <t xml:space="preserve"> direção</t>
    </r>
    <r>
      <rPr>
        <b/>
        <sz val="11"/>
        <rFont val="Calibri"/>
        <family val="2"/>
        <scheme val="minor"/>
      </rPr>
      <t>.</t>
    </r>
  </si>
  <si>
    <r>
      <t xml:space="preserve">Os potenciais acidentes, que possam desencadear afastamentos, devem ser notificados à </t>
    </r>
    <r>
      <rPr>
        <b/>
        <i/>
        <sz val="11"/>
        <rFont val="Calibri"/>
        <family val="2"/>
        <scheme val="minor"/>
      </rPr>
      <t>direção</t>
    </r>
    <r>
      <rPr>
        <b/>
        <sz val="11"/>
        <rFont val="Calibri"/>
        <family val="2"/>
        <scheme val="minor"/>
      </rPr>
      <t>.</t>
    </r>
  </si>
  <si>
    <r>
      <t xml:space="preserve">Os </t>
    </r>
    <r>
      <rPr>
        <b/>
        <i/>
        <sz val="11"/>
        <rFont val="Calibri"/>
        <family val="2"/>
        <scheme val="minor"/>
      </rPr>
      <t>indicadores</t>
    </r>
    <r>
      <rPr>
        <b/>
        <sz val="11"/>
        <rFont val="Calibri"/>
        <family val="2"/>
        <scheme val="minor"/>
      </rPr>
      <t xml:space="preserve"> de desempenho relacionados ao tratamento dos perigos e </t>
    </r>
    <r>
      <rPr>
        <b/>
        <i/>
        <sz val="11"/>
        <rFont val="Calibri"/>
        <family val="2"/>
        <scheme val="minor"/>
      </rPr>
      <t>riscos</t>
    </r>
    <r>
      <rPr>
        <b/>
        <sz val="11"/>
        <rFont val="Calibri"/>
        <family val="2"/>
        <scheme val="minor"/>
      </rPr>
      <t xml:space="preserve"> à saúde e à segurança da </t>
    </r>
    <r>
      <rPr>
        <b/>
        <i/>
        <sz val="11"/>
        <rFont val="Calibri"/>
        <family val="2"/>
        <scheme val="minor"/>
      </rPr>
      <t>força de trabalho</t>
    </r>
    <r>
      <rPr>
        <b/>
        <sz val="11"/>
        <rFont val="Calibri"/>
        <family val="2"/>
        <scheme val="minor"/>
      </rPr>
      <t xml:space="preserve"> devem ser reportados à</t>
    </r>
    <r>
      <rPr>
        <b/>
        <i/>
        <sz val="11"/>
        <rFont val="Calibri"/>
        <family val="2"/>
        <scheme val="minor"/>
      </rPr>
      <t xml:space="preserve"> direção</t>
    </r>
    <r>
      <rPr>
        <b/>
        <sz val="11"/>
        <rFont val="Calibri"/>
        <family val="2"/>
        <scheme val="minor"/>
      </rPr>
      <t>.</t>
    </r>
  </si>
  <si>
    <t>6.1e</t>
  </si>
  <si>
    <r>
      <t>e) Otimização do clima</t>
    </r>
    <r>
      <rPr>
        <b/>
        <sz val="10"/>
        <color rgb="FF0070C0"/>
        <rFont val="Calibri"/>
        <family val="2"/>
        <scheme val="minor"/>
      </rPr>
      <t>177</t>
    </r>
    <r>
      <rPr>
        <b/>
        <sz val="10"/>
        <rFont val="Calibri"/>
        <family val="2"/>
        <scheme val="minor"/>
      </rPr>
      <t xml:space="preserve"> organizacional</t>
    </r>
  </si>
  <si>
    <r>
      <t xml:space="preserve">Tem a finalidade de </t>
    </r>
    <r>
      <rPr>
        <b/>
        <u/>
        <sz val="10"/>
        <rFont val="Calibri"/>
        <family val="2"/>
        <scheme val="minor"/>
      </rPr>
      <t>maximizar</t>
    </r>
    <r>
      <rPr>
        <b/>
        <sz val="10"/>
        <rFont val="Calibri"/>
        <family val="2"/>
        <scheme val="minor"/>
      </rPr>
      <t xml:space="preserve"> o comprometimento e disposição da </t>
    </r>
    <r>
      <rPr>
        <b/>
        <i/>
        <sz val="10"/>
        <rFont val="Calibri"/>
        <family val="2"/>
        <scheme val="minor"/>
      </rPr>
      <t>força de trabalho</t>
    </r>
    <r>
      <rPr>
        <b/>
        <sz val="10"/>
        <rFont val="Calibri"/>
        <family val="2"/>
        <scheme val="minor"/>
      </rPr>
      <t xml:space="preserve"> para a alta performance e com o </t>
    </r>
    <r>
      <rPr>
        <b/>
        <i/>
        <sz val="10"/>
        <rFont val="Calibri"/>
        <family val="2"/>
        <scheme val="minor"/>
      </rPr>
      <t>desenvolvimento sustentável</t>
    </r>
    <r>
      <rPr>
        <b/>
        <sz val="10"/>
        <rFont val="Calibri"/>
        <family val="2"/>
        <scheme val="minor"/>
      </rPr>
      <t xml:space="preserve">. </t>
    </r>
  </si>
  <si>
    <t>Citar as medidas abrangentes mais relevantes para melhoria do clima organizacional dos últimos dois anos.</t>
  </si>
  <si>
    <r>
      <t xml:space="preserve">As principais necessidades e expectativas das pessoas da </t>
    </r>
    <r>
      <rPr>
        <b/>
        <i/>
        <sz val="11"/>
        <rFont val="Calibri"/>
        <family val="2"/>
        <scheme val="minor"/>
      </rPr>
      <t>força de trabalho</t>
    </r>
    <r>
      <rPr>
        <b/>
        <sz val="11"/>
        <rFont val="Calibri"/>
        <family val="2"/>
        <scheme val="minor"/>
      </rPr>
      <t xml:space="preserve"> que podem afetar o clima organizacional devem ser conhecidas para o desenvolvimento da comunicação e de programas de pessoal.</t>
    </r>
  </si>
  <si>
    <r>
      <t>A organização deve manter um plano de comunicação</t>
    </r>
    <r>
      <rPr>
        <b/>
        <sz val="11"/>
        <color rgb="FF0070C0"/>
        <rFont val="Calibri"/>
        <family val="2"/>
        <scheme val="minor"/>
      </rPr>
      <t>201</t>
    </r>
    <r>
      <rPr>
        <b/>
        <sz val="11"/>
        <rFont val="Calibri"/>
        <family val="2"/>
        <scheme val="minor"/>
      </rPr>
      <t xml:space="preserve">  interna para apoiar o engajamento das pessoas com os objetivos, incluindo os relacionados ao </t>
    </r>
    <r>
      <rPr>
        <b/>
        <i/>
        <sz val="11"/>
        <rFont val="Calibri"/>
        <family val="2"/>
        <scheme val="minor"/>
      </rPr>
      <t>desenvolvimento sustentável</t>
    </r>
    <r>
      <rPr>
        <b/>
        <sz val="11"/>
        <rFont val="Calibri"/>
        <family val="2"/>
        <scheme val="minor"/>
      </rPr>
      <t xml:space="preserve">. </t>
    </r>
  </si>
  <si>
    <t>As ações de maximização do comprometimento, bem-estar e satisfação das pessoas devem ser planejadas com a participação das equipes.</t>
  </si>
  <si>
    <t>As lideranças, em todos os níveis, devem monitorar os aspectos que mais afetam o comprometimento, bem-estar e a satisfação de sua equipe.</t>
  </si>
  <si>
    <r>
      <t xml:space="preserve">A organização deve proporcionar canal de manifestação de insatisfações da </t>
    </r>
    <r>
      <rPr>
        <b/>
        <i/>
        <sz val="11"/>
        <rFont val="Calibri"/>
        <family val="2"/>
        <scheme val="minor"/>
      </rPr>
      <t>força de trabalho</t>
    </r>
    <r>
      <rPr>
        <b/>
        <sz val="11"/>
        <rFont val="Calibri"/>
        <family val="2"/>
        <scheme val="minor"/>
      </rPr>
      <t xml:space="preserve"> sigilosos e responsivos</t>
    </r>
    <r>
      <rPr>
        <b/>
        <sz val="11"/>
        <color rgb="FF0070C0"/>
        <rFont val="Calibri"/>
        <family val="2"/>
        <scheme val="minor"/>
      </rPr>
      <t>202</t>
    </r>
    <r>
      <rPr>
        <b/>
        <sz val="11"/>
        <rFont val="Calibri"/>
        <family val="2"/>
        <scheme val="minor"/>
      </rPr>
      <t>.</t>
    </r>
  </si>
  <si>
    <r>
      <t xml:space="preserve">A avaliação dos aspectos que afetam o comprometimento, o bem-estar e a satisfação da </t>
    </r>
    <r>
      <rPr>
        <b/>
        <i/>
        <sz val="11"/>
        <rFont val="Calibri"/>
        <family val="2"/>
        <scheme val="minor"/>
      </rPr>
      <t>força de trabalho</t>
    </r>
    <r>
      <rPr>
        <b/>
        <sz val="11"/>
        <rFont val="Calibri"/>
        <family val="2"/>
        <scheme val="minor"/>
      </rPr>
      <t xml:space="preserve"> deve considerar a opinião das pessoas, sem necessidade de sua identificação, e permitir priorizar oportunidades de melhoria específicas por grupos de pessoas ou áreas.</t>
    </r>
  </si>
  <si>
    <r>
      <t xml:space="preserve">As ações de maximização do comprometimento, bem-estar e satisfação das pessoas devem ser harmonizadas pela </t>
    </r>
    <r>
      <rPr>
        <b/>
        <i/>
        <sz val="11"/>
        <rFont val="Calibri"/>
        <family val="2"/>
        <scheme val="minor"/>
      </rPr>
      <t>direção</t>
    </r>
    <r>
      <rPr>
        <b/>
        <sz val="11"/>
        <rFont val="Calibri"/>
        <family val="2"/>
        <scheme val="minor"/>
      </rPr>
      <t xml:space="preserve"> e implementadas pelos líderes.</t>
    </r>
  </si>
  <si>
    <t>As principais necessidades, expectativas e predisposições das pessoas do mercado de trabalho que podem afetar o clima organizacional devem ser conhecidas para o desenvolvimento da comunicação e de programas de pessoal.</t>
  </si>
  <si>
    <t>A organização deve manter compensações compatíveis com a necessidade de retenção de pessoal de alto desempenho.</t>
  </si>
  <si>
    <r>
      <t>As contribuições extraordinárias devem ser identificadas e reconhecidas prontamente</t>
    </r>
    <r>
      <rPr>
        <b/>
        <sz val="11"/>
        <color rgb="FF0070C0"/>
        <rFont val="Calibri"/>
        <family val="2"/>
        <scheme val="minor"/>
      </rPr>
      <t>203</t>
    </r>
    <r>
      <rPr>
        <b/>
        <sz val="11"/>
        <rFont val="Calibri"/>
        <family val="2"/>
        <scheme val="minor"/>
      </rPr>
      <t>.</t>
    </r>
  </si>
  <si>
    <t>O incentivo por alcance e superação de metas deve ser adotado amplamente.</t>
  </si>
  <si>
    <r>
      <t xml:space="preserve">O desempenho da otimização do clima organizacional deve ser avaliado por meio de </t>
    </r>
    <r>
      <rPr>
        <b/>
        <i/>
        <sz val="11"/>
        <rFont val="Calibri"/>
        <family val="2"/>
        <scheme val="minor"/>
      </rPr>
      <t xml:space="preserve">indicadores </t>
    </r>
    <r>
      <rPr>
        <b/>
        <sz val="11"/>
        <rFont val="Calibri"/>
        <family val="2"/>
        <scheme val="minor"/>
      </rPr>
      <t>abrangendo os fatores mais importantes.</t>
    </r>
  </si>
  <si>
    <r>
      <t xml:space="preserve">A definição do tratamento de aspectos que mais afetam o comprometimento, o bem-estar e a satisfação da </t>
    </r>
    <r>
      <rPr>
        <b/>
        <i/>
        <sz val="11"/>
        <rFont val="Calibri"/>
        <family val="2"/>
        <scheme val="minor"/>
      </rPr>
      <t>força de trabalho</t>
    </r>
    <r>
      <rPr>
        <b/>
        <sz val="11"/>
        <rFont val="Calibri"/>
        <family val="2"/>
        <scheme val="minor"/>
      </rPr>
      <t xml:space="preserve"> deve ser feita com a responsabilização das lideranças e a participação das pessoas, de acordo com as principais insatisfações identificadas.</t>
    </r>
  </si>
  <si>
    <r>
      <t>O reconhecimento de equipes de alta performance deve destacar as competências associadas</t>
    </r>
    <r>
      <rPr>
        <b/>
        <sz val="11"/>
        <color rgb="FF0070C0"/>
        <rFont val="Calibri"/>
        <family val="2"/>
        <scheme val="minor"/>
      </rPr>
      <t>204</t>
    </r>
    <r>
      <rPr>
        <b/>
        <sz val="11"/>
        <rFont val="Calibri"/>
        <family val="2"/>
        <scheme val="minor"/>
      </rPr>
      <t xml:space="preserve"> aos resultados excepcionais para o negócio que foram alcançados. </t>
    </r>
  </si>
  <si>
    <t>O incentivo por alcance ou superação de metas deve considerar as metas das equipes.</t>
  </si>
  <si>
    <r>
      <t>O desempenho do reconhecimento</t>
    </r>
    <r>
      <rPr>
        <b/>
        <sz val="11"/>
        <color rgb="FF0070C0"/>
        <rFont val="Calibri"/>
        <family val="2"/>
        <scheme val="minor"/>
      </rPr>
      <t>205</t>
    </r>
    <r>
      <rPr>
        <b/>
        <sz val="11"/>
        <rFont val="Calibri"/>
        <family val="2"/>
        <scheme val="minor"/>
      </rPr>
      <t xml:space="preserve"> e do incentivo na organização deve ser avaliado por meio de </t>
    </r>
    <r>
      <rPr>
        <b/>
        <i/>
        <sz val="11"/>
        <rFont val="Calibri"/>
        <family val="2"/>
        <scheme val="minor"/>
      </rPr>
      <t>indicadores</t>
    </r>
    <r>
      <rPr>
        <b/>
        <sz val="11"/>
        <rFont val="Calibri"/>
        <family val="2"/>
        <scheme val="minor"/>
      </rPr>
      <t>.</t>
    </r>
  </si>
  <si>
    <t>6.2</t>
  </si>
  <si>
    <t>6.2 Desenvolvimento de lideranças</t>
  </si>
  <si>
    <t>6.2a</t>
  </si>
  <si>
    <t>a) Definição de competências de liderança</t>
  </si>
  <si>
    <r>
      <t xml:space="preserve">Tem o objetivo de </t>
    </r>
    <r>
      <rPr>
        <b/>
        <u/>
        <sz val="10"/>
        <rFont val="Calibri"/>
        <family val="2"/>
        <scheme val="minor"/>
      </rPr>
      <t>estabelecer</t>
    </r>
    <r>
      <rPr>
        <b/>
        <sz val="10"/>
        <rFont val="Calibri"/>
        <family val="2"/>
        <scheme val="minor"/>
      </rPr>
      <t xml:space="preserve"> os principais conhecimentos, habilidades e atitudes de liderança, que os gestores precisam ter ou adquirir, em seu nível, para promover o maior engajamento da equipe, contribuir para aumento da sustentabilidade de </t>
    </r>
    <r>
      <rPr>
        <b/>
        <i/>
        <sz val="10"/>
        <rFont val="Calibri"/>
        <family val="2"/>
        <scheme val="minor"/>
      </rPr>
      <t>produtos</t>
    </r>
    <r>
      <rPr>
        <b/>
        <sz val="10"/>
        <rFont val="Calibri"/>
        <family val="2"/>
        <scheme val="minor"/>
      </rPr>
      <t xml:space="preserve"> e processos e obter alta performance. </t>
    </r>
  </si>
  <si>
    <r>
      <t xml:space="preserve">Apresentar as principais competências esperadas para </t>
    </r>
    <r>
      <rPr>
        <b/>
        <sz val="11"/>
        <color rgb="FF0070C0"/>
        <rFont val="Calibri"/>
        <family val="2"/>
        <scheme val="minor"/>
      </rPr>
      <t>os dirigentes e para os gestores em geral.</t>
    </r>
  </si>
  <si>
    <r>
      <t xml:space="preserve">As competências relativas à gestão de pessoas devem integrar o conjunto de competências estabelecidas para </t>
    </r>
    <r>
      <rPr>
        <b/>
        <sz val="11"/>
        <color rgb="FF0070C0"/>
        <rFont val="Calibri"/>
        <family val="2"/>
        <scheme val="minor"/>
      </rPr>
      <t>a liderança</t>
    </r>
    <r>
      <rPr>
        <b/>
        <sz val="11"/>
        <rFont val="Calibri"/>
        <family val="2"/>
        <scheme val="minor"/>
      </rPr>
      <t>.</t>
    </r>
  </si>
  <si>
    <r>
      <t>As competências relacionadas com o pensamento sistêmico e o saneamento ambiental integrado, incluindo relativas a mudanças do ambiente de negócios</t>
    </r>
    <r>
      <rPr>
        <b/>
        <sz val="11"/>
        <color rgb="FF0070C0"/>
        <rFont val="Calibri"/>
        <family val="2"/>
        <scheme val="minor"/>
      </rPr>
      <t>206</t>
    </r>
    <r>
      <rPr>
        <b/>
        <sz val="11"/>
        <rFont val="Calibri"/>
        <family val="2"/>
        <scheme val="minor"/>
      </rPr>
      <t xml:space="preserve">, devem integrar o conjunto de competências estabelecidas para </t>
    </r>
    <r>
      <rPr>
        <b/>
        <sz val="11"/>
        <color rgb="FF0070C0"/>
        <rFont val="Calibri"/>
        <family val="2"/>
        <scheme val="minor"/>
      </rPr>
      <t>a liderança</t>
    </r>
    <r>
      <rPr>
        <b/>
        <sz val="11"/>
        <rFont val="Calibri"/>
        <family val="2"/>
        <scheme val="minor"/>
      </rPr>
      <t>.</t>
    </r>
  </si>
  <si>
    <r>
      <t xml:space="preserve">As competências relacionadas com a excelência da gestão para o </t>
    </r>
    <r>
      <rPr>
        <b/>
        <i/>
        <sz val="11"/>
        <rFont val="Calibri"/>
        <family val="2"/>
        <scheme val="minor"/>
      </rPr>
      <t>desenvolvimento sustentável</t>
    </r>
    <r>
      <rPr>
        <b/>
        <sz val="11"/>
        <rFont val="Calibri"/>
        <family val="2"/>
        <scheme val="minor"/>
      </rPr>
      <t xml:space="preserve"> e com o uso de tecnologias de apoio à tomada de decisão devem integrar o conjunto de competências estabelecidas para </t>
    </r>
    <r>
      <rPr>
        <b/>
        <sz val="11"/>
        <color rgb="FF0070C0"/>
        <rFont val="Calibri"/>
        <family val="2"/>
        <scheme val="minor"/>
      </rPr>
      <t>a liderança</t>
    </r>
    <r>
      <rPr>
        <b/>
        <sz val="11"/>
        <rFont val="Calibri"/>
        <family val="2"/>
        <scheme val="minor"/>
      </rPr>
      <t>.</t>
    </r>
  </si>
  <si>
    <r>
      <t xml:space="preserve">As competências de liderança </t>
    </r>
    <r>
      <rPr>
        <b/>
        <sz val="11"/>
        <color rgb="FF0070C0"/>
        <rFont val="Calibri"/>
        <family val="2"/>
        <scheme val="minor"/>
      </rPr>
      <t>para a</t>
    </r>
    <r>
      <rPr>
        <b/>
        <sz val="11"/>
        <rFont val="Calibri"/>
        <family val="2"/>
        <scheme val="minor"/>
      </rPr>
      <t xml:space="preserve"> </t>
    </r>
    <r>
      <rPr>
        <b/>
        <i/>
        <sz val="11"/>
        <rFont val="Calibri"/>
        <family val="2"/>
        <scheme val="minor"/>
      </rPr>
      <t>direção</t>
    </r>
    <r>
      <rPr>
        <b/>
        <sz val="11"/>
        <rFont val="Calibri"/>
        <family val="2"/>
        <scheme val="minor"/>
      </rPr>
      <t xml:space="preserve"> devem ser estabelecidas com a participação dos proprietários, mantenedores ou instituidores, ou seus representantes.</t>
    </r>
  </si>
  <si>
    <r>
      <t xml:space="preserve">A competência em desenvolver </t>
    </r>
    <r>
      <rPr>
        <b/>
        <sz val="11"/>
        <color rgb="FF0070C0"/>
        <rFont val="Calibri"/>
        <family val="2"/>
        <scheme val="minor"/>
      </rPr>
      <t>gestores de pessoas</t>
    </r>
    <r>
      <rPr>
        <b/>
        <sz val="11"/>
        <rFont val="Calibri"/>
        <family val="2"/>
        <scheme val="minor"/>
      </rPr>
      <t xml:space="preserve"> deve integrar o conjunto de competências estabelecidas para gestores de gestores.</t>
    </r>
  </si>
  <si>
    <t>O estabelecimento de competências para liderança deve considerar os líderes de grupos multifuncionais, temporários ou permanentes.</t>
  </si>
  <si>
    <t>6.2b</t>
  </si>
  <si>
    <t>b) Seleção de líderes e sucessores</t>
  </si>
  <si>
    <r>
      <t xml:space="preserve">Visa a </t>
    </r>
    <r>
      <rPr>
        <b/>
        <u/>
        <sz val="10"/>
        <rFont val="Calibri"/>
        <family val="2"/>
        <scheme val="minor"/>
      </rPr>
      <t>identificar</t>
    </r>
    <r>
      <rPr>
        <b/>
        <sz val="10"/>
        <rFont val="Calibri"/>
        <family val="2"/>
        <scheme val="minor"/>
      </rPr>
      <t xml:space="preserve"> líderes potenciais mais preparados para exercer ou desenvolver as competências exigidas para as posições de liderança atuais e futuras. </t>
    </r>
  </si>
  <si>
    <t>A seleção de líderes e sucessores deve validar sua adequação às competências exigidas, incluindo a competência relativa à gestão de pessoas.</t>
  </si>
  <si>
    <r>
      <t xml:space="preserve">A seleção de líderes e sucessores deve ser realizada com a participação ativa da </t>
    </r>
    <r>
      <rPr>
        <b/>
        <i/>
        <sz val="11"/>
        <rFont val="Calibri"/>
        <family val="2"/>
        <scheme val="minor"/>
      </rPr>
      <t>direção</t>
    </r>
    <r>
      <rPr>
        <b/>
        <sz val="11"/>
        <rFont val="Calibri"/>
        <family val="2"/>
        <scheme val="minor"/>
      </rPr>
      <t xml:space="preserve"> e deve considerar resultados obtidos decorrentes da mobilização de pessoas em torno de objetivos. </t>
    </r>
  </si>
  <si>
    <t>Os líderes e sucessores selecionados devem conhecer os principais processos de gestão da organização.</t>
  </si>
  <si>
    <t>Os líderes e sucessores selecionados devem ser integrados à estrutura de liderança.</t>
  </si>
  <si>
    <t xml:space="preserve">A seleção de líderes e sucessores deve validar a competência social para negociação e consenso.  </t>
  </si>
  <si>
    <t>A seleção de líderes de gestores e seus sucessores deve validar a competência em desenvolver líderes.</t>
  </si>
  <si>
    <r>
      <t xml:space="preserve">O desempenho da seleção de líderes e sucessores deve ser avaliado por meio de </t>
    </r>
    <r>
      <rPr>
        <b/>
        <i/>
        <sz val="11"/>
        <rFont val="Calibri"/>
        <family val="2"/>
        <scheme val="minor"/>
      </rPr>
      <t>indicador</t>
    </r>
    <r>
      <rPr>
        <b/>
        <sz val="11"/>
        <rFont val="Calibri"/>
        <family val="2"/>
        <scheme val="minor"/>
      </rPr>
      <t>.</t>
    </r>
  </si>
  <si>
    <t>6.2c</t>
  </si>
  <si>
    <t>c) Desenvolvimento de competências de líderes e sucessores</t>
  </si>
  <si>
    <r>
      <t xml:space="preserve">Tem o objetivo de </t>
    </r>
    <r>
      <rPr>
        <b/>
        <u/>
        <sz val="10"/>
        <rFont val="Calibri"/>
        <family val="2"/>
        <scheme val="minor"/>
      </rPr>
      <t>incorporar</t>
    </r>
    <r>
      <rPr>
        <b/>
        <sz val="10"/>
        <rFont val="Calibri"/>
        <family val="2"/>
        <scheme val="minor"/>
      </rPr>
      <t xml:space="preserve"> as competências exigidas para as posições de liderança atuais e futuras nos líderes e sucessores selecionados. </t>
    </r>
  </si>
  <si>
    <t>Citar os principais programas ou ações de desenvolvimento de líderes em andamento e a quantidade de pessoas alcançadas.</t>
  </si>
  <si>
    <t>O desenvolvimento de sucessores para qualquer nível deve incluir designações experimentais compatíveis com o nível almejado.</t>
  </si>
  <si>
    <t>A avaliação das competências de liderança de líderes e sucessores selecionados deve ser realizada e priorizada com a participação do avaliado.</t>
  </si>
  <si>
    <t>As competências de liderança com maior déficit devem ser tratadas com a participação dos respectivos líderes.</t>
  </si>
  <si>
    <r>
      <t xml:space="preserve">Apresentar as competências de liderança para o nível de </t>
    </r>
    <r>
      <rPr>
        <b/>
        <i/>
        <sz val="11"/>
        <rFont val="Calibri"/>
        <family val="2"/>
        <scheme val="minor"/>
      </rPr>
      <t>direção</t>
    </r>
    <r>
      <rPr>
        <b/>
        <sz val="11"/>
        <rFont val="Calibri"/>
        <family val="2"/>
        <scheme val="minor"/>
      </rPr>
      <t>.</t>
    </r>
  </si>
  <si>
    <t>O desenvolvimento de competências de liderança deve ser realizado com fixação de objetivos prioritários para cada pessoa e incorporação de novas habilidades.</t>
  </si>
  <si>
    <t>A avaliação e o desenvolvimento de competências de liderança deve ser parte integrante da responsabilidade de líderes de gestores.</t>
  </si>
  <si>
    <r>
      <t xml:space="preserve">O desempenho dos líderes deve ser avaliado por meio de </t>
    </r>
    <r>
      <rPr>
        <b/>
        <i/>
        <sz val="11"/>
        <rFont val="Calibri"/>
        <family val="2"/>
        <scheme val="minor"/>
      </rPr>
      <t>indicadores</t>
    </r>
    <r>
      <rPr>
        <b/>
        <sz val="11"/>
        <rFont val="Calibri"/>
        <family val="2"/>
        <scheme val="minor"/>
      </rPr>
      <t xml:space="preserve"> associados ao engajamento dos liderados.</t>
    </r>
  </si>
  <si>
    <r>
      <t xml:space="preserve">O desempenho dos líderes deve ser avaliado por meio de </t>
    </r>
    <r>
      <rPr>
        <b/>
        <i/>
        <sz val="11"/>
        <rFont val="Calibri"/>
        <family val="2"/>
        <scheme val="minor"/>
      </rPr>
      <t>indicadores</t>
    </r>
    <r>
      <rPr>
        <b/>
        <sz val="11"/>
        <rFont val="Calibri"/>
        <family val="2"/>
        <scheme val="minor"/>
      </rPr>
      <t xml:space="preserve"> associados aos resultados das equipes.</t>
    </r>
  </si>
  <si>
    <t>7.</t>
  </si>
  <si>
    <t>CRITÉRIO 7 - PROCESSOS</t>
  </si>
  <si>
    <r>
      <t xml:space="preserve">Este Critério trata da gestão dos principais processos primários e de suporte, de fornecimento e econômico-financeiros, necessários para a criação de valor, para os clientes e demais partes interessadas, de forma coerente com o </t>
    </r>
    <r>
      <rPr>
        <i/>
        <sz val="10"/>
        <color theme="1"/>
        <rFont val="Calibri"/>
        <family val="2"/>
        <scheme val="minor"/>
      </rPr>
      <t>desenvolvimento sustentável</t>
    </r>
    <r>
      <rPr>
        <sz val="10"/>
        <color theme="1"/>
        <rFont val="Calibri"/>
        <family val="2"/>
        <scheme val="minor"/>
      </rPr>
      <t xml:space="preserve">. </t>
    </r>
  </si>
  <si>
    <t>7.1</t>
  </si>
  <si>
    <t>7.1 Processos primários e de suporte</t>
  </si>
  <si>
    <t>7.1a</t>
  </si>
  <si>
    <r>
      <t>a) Planejamento</t>
    </r>
    <r>
      <rPr>
        <b/>
        <sz val="10"/>
        <color rgb="FF0070C0"/>
        <rFont val="Calibri"/>
        <family val="2"/>
        <scheme val="minor"/>
      </rPr>
      <t>185</t>
    </r>
    <r>
      <rPr>
        <b/>
        <sz val="10"/>
        <rFont val="Calibri"/>
        <family val="2"/>
        <scheme val="minor"/>
      </rPr>
      <t xml:space="preserve"> de fatores</t>
    </r>
    <r>
      <rPr>
        <b/>
        <sz val="10"/>
        <color rgb="FF0070C0"/>
        <rFont val="Calibri"/>
        <family val="2"/>
        <scheme val="minor"/>
      </rPr>
      <t>186</t>
    </r>
    <r>
      <rPr>
        <b/>
        <sz val="10"/>
        <rFont val="Calibri"/>
        <family val="2"/>
        <scheme val="minor"/>
      </rPr>
      <t xml:space="preserve"> de desempenho</t>
    </r>
  </si>
  <si>
    <r>
      <t xml:space="preserve">Tem os objetivos de </t>
    </r>
    <r>
      <rPr>
        <b/>
        <u/>
        <sz val="10"/>
        <rFont val="Calibri"/>
        <family val="2"/>
        <scheme val="minor"/>
      </rPr>
      <t>estabelecer</t>
    </r>
    <r>
      <rPr>
        <b/>
        <sz val="10"/>
        <rFont val="Calibri"/>
        <family val="2"/>
        <scheme val="minor"/>
      </rPr>
      <t xml:space="preserve"> e </t>
    </r>
    <r>
      <rPr>
        <b/>
        <u/>
        <sz val="10"/>
        <rFont val="Calibri"/>
        <family val="2"/>
        <scheme val="minor"/>
      </rPr>
      <t>harmonizar</t>
    </r>
    <r>
      <rPr>
        <b/>
        <sz val="10"/>
        <rFont val="Calibri"/>
        <family val="2"/>
        <scheme val="minor"/>
      </rPr>
      <t xml:space="preserve"> os fatores de desempenho mais importantes, para </t>
    </r>
    <r>
      <rPr>
        <b/>
        <i/>
        <sz val="10"/>
        <rFont val="Calibri"/>
        <family val="2"/>
        <scheme val="minor"/>
      </rPr>
      <t>produtos</t>
    </r>
    <r>
      <rPr>
        <b/>
        <sz val="10"/>
        <color rgb="FF0070C0"/>
        <rFont val="Calibri"/>
        <family val="2"/>
        <scheme val="minor"/>
      </rPr>
      <t>210</t>
    </r>
    <r>
      <rPr>
        <b/>
        <sz val="10"/>
        <rFont val="Calibri"/>
        <family val="2"/>
        <scheme val="minor"/>
      </rPr>
      <t xml:space="preserve"> e processos primários e de suporte, a partir de requisitos de clientes, da sociedade</t>
    </r>
    <r>
      <rPr>
        <b/>
        <sz val="10"/>
        <color rgb="FF0070C0"/>
        <rFont val="Calibri"/>
        <family val="2"/>
        <scheme val="minor"/>
      </rPr>
      <t>211</t>
    </r>
    <r>
      <rPr>
        <b/>
        <sz val="10"/>
        <rFont val="Calibri"/>
        <family val="2"/>
        <scheme val="minor"/>
      </rPr>
      <t xml:space="preserve">, de outras </t>
    </r>
    <r>
      <rPr>
        <b/>
        <i/>
        <sz val="10"/>
        <rFont val="Calibri"/>
        <family val="2"/>
        <scheme val="minor"/>
      </rPr>
      <t>partes interessadas</t>
    </r>
    <r>
      <rPr>
        <b/>
        <sz val="10"/>
        <rFont val="Calibri"/>
        <family val="2"/>
        <scheme val="minor"/>
      </rPr>
      <t xml:space="preserve"> e áreas internas, de melhorias dos processos e de desdobramentos de </t>
    </r>
    <r>
      <rPr>
        <b/>
        <i/>
        <sz val="10"/>
        <rFont val="Calibri"/>
        <family val="2"/>
        <scheme val="minor"/>
      </rPr>
      <t>estratégias</t>
    </r>
    <r>
      <rPr>
        <b/>
        <sz val="10"/>
        <rFont val="Calibri"/>
        <family val="2"/>
        <scheme val="minor"/>
      </rPr>
      <t>.</t>
    </r>
  </si>
  <si>
    <r>
      <t xml:space="preserve">Apresentar os principais fatores de desempenho para </t>
    </r>
    <r>
      <rPr>
        <b/>
        <i/>
        <sz val="11"/>
        <rFont val="Calibri"/>
        <family val="2"/>
        <scheme val="minor"/>
      </rPr>
      <t>produtos</t>
    </r>
    <r>
      <rPr>
        <b/>
        <sz val="11"/>
        <rFont val="Calibri"/>
        <family val="2"/>
        <scheme val="minor"/>
      </rPr>
      <t xml:space="preserve"> e processos primários e de suporte e as </t>
    </r>
    <r>
      <rPr>
        <b/>
        <i/>
        <sz val="11"/>
        <rFont val="Calibri"/>
        <family val="2"/>
        <scheme val="minor"/>
      </rPr>
      <t>partes interessadas</t>
    </r>
    <r>
      <rPr>
        <b/>
        <sz val="11"/>
        <rFont val="Calibri"/>
        <family val="2"/>
        <scheme val="minor"/>
      </rPr>
      <t xml:space="preserve"> mais importantes associadas.</t>
    </r>
  </si>
  <si>
    <r>
      <t xml:space="preserve">Os principais fatores de desempenho para </t>
    </r>
    <r>
      <rPr>
        <b/>
        <i/>
        <sz val="11"/>
        <rFont val="Calibri"/>
        <family val="2"/>
        <scheme val="minor"/>
      </rPr>
      <t>produtos</t>
    </r>
    <r>
      <rPr>
        <b/>
        <sz val="11"/>
        <rFont val="Calibri"/>
        <family val="2"/>
        <scheme val="minor"/>
      </rPr>
      <t xml:space="preserve"> e processos devem ser avaliados por meio de </t>
    </r>
    <r>
      <rPr>
        <b/>
        <i/>
        <sz val="11"/>
        <rFont val="Calibri"/>
        <family val="2"/>
        <scheme val="minor"/>
      </rPr>
      <t>indicadores</t>
    </r>
    <r>
      <rPr>
        <b/>
        <sz val="11"/>
        <rFont val="Calibri"/>
        <family val="2"/>
        <scheme val="minor"/>
      </rPr>
      <t>, cujos resultados devem ser informados no Critério 8.</t>
    </r>
  </si>
  <si>
    <r>
      <t xml:space="preserve">O conjunto de fatores de desempenho e respectivos </t>
    </r>
    <r>
      <rPr>
        <b/>
        <i/>
        <sz val="11"/>
        <rFont val="Calibri"/>
        <family val="2"/>
        <scheme val="minor"/>
      </rPr>
      <t>indicadores</t>
    </r>
    <r>
      <rPr>
        <b/>
        <sz val="11"/>
        <rFont val="Calibri"/>
        <family val="2"/>
        <scheme val="minor"/>
      </rPr>
      <t xml:space="preserve"> devem incluir os relativos ao ciclo de vida dos </t>
    </r>
    <r>
      <rPr>
        <b/>
        <i/>
        <sz val="11"/>
        <rFont val="Calibri"/>
        <family val="2"/>
        <scheme val="minor"/>
      </rPr>
      <t>ativos de infraestrutura operacional</t>
    </r>
    <r>
      <rPr>
        <b/>
        <sz val="11"/>
        <rFont val="Calibri"/>
        <family val="2"/>
        <scheme val="minor"/>
      </rPr>
      <t xml:space="preserve">, quando forem críticos para o negócio, e os relativos ao </t>
    </r>
    <r>
      <rPr>
        <b/>
        <i/>
        <sz val="11"/>
        <rFont val="Calibri"/>
        <family val="2"/>
        <scheme val="minor"/>
      </rPr>
      <t>desenvolvimento sustentável</t>
    </r>
    <r>
      <rPr>
        <b/>
        <sz val="11"/>
        <rFont val="Calibri"/>
        <family val="2"/>
        <scheme val="minor"/>
      </rPr>
      <t>.</t>
    </r>
  </si>
  <si>
    <t>7.1b</t>
  </si>
  <si>
    <r>
      <t>b) Projeto</t>
    </r>
    <r>
      <rPr>
        <b/>
        <sz val="10"/>
        <color rgb="FF0070C0"/>
        <rFont val="Calibri"/>
        <family val="2"/>
        <scheme val="minor"/>
      </rPr>
      <t>189</t>
    </r>
    <r>
      <rPr>
        <b/>
        <sz val="10"/>
        <rFont val="Calibri"/>
        <family val="2"/>
        <scheme val="minor"/>
      </rPr>
      <t xml:space="preserve"> de produtos e processos sustentáveis </t>
    </r>
  </si>
  <si>
    <r>
      <t xml:space="preserve">Tem a finalidade de </t>
    </r>
    <r>
      <rPr>
        <b/>
        <u/>
        <sz val="10"/>
        <rFont val="Calibri"/>
        <family val="2"/>
        <scheme val="minor"/>
      </rPr>
      <t>conceber</t>
    </r>
    <r>
      <rPr>
        <b/>
        <sz val="10"/>
        <rFont val="Calibri"/>
        <family val="2"/>
        <scheme val="minor"/>
      </rPr>
      <t xml:space="preserve"> ou atualizar os </t>
    </r>
    <r>
      <rPr>
        <b/>
        <i/>
        <sz val="10"/>
        <rFont val="Calibri"/>
        <family val="2"/>
        <scheme val="minor"/>
      </rPr>
      <t>produtos</t>
    </r>
    <r>
      <rPr>
        <b/>
        <sz val="10"/>
        <rFont val="Calibri"/>
        <family val="2"/>
        <scheme val="minor"/>
      </rPr>
      <t xml:space="preserve"> e os processos primários e de suporte, estabelecendo padrões que possibilitem atender aos fatores de desempenho estabelecidos e privilegiando as inovações</t>
    </r>
    <r>
      <rPr>
        <b/>
        <sz val="10"/>
        <color rgb="FF0070C0"/>
        <rFont val="Calibri"/>
        <family val="2"/>
        <scheme val="minor"/>
      </rPr>
      <t>213</t>
    </r>
    <r>
      <rPr>
        <b/>
        <sz val="10"/>
        <rFont val="Calibri"/>
        <family val="2"/>
        <scheme val="minor"/>
      </rPr>
      <t xml:space="preserve">. </t>
    </r>
  </si>
  <si>
    <r>
      <t xml:space="preserve">Citar exemplo recente de desenvolvimento ou atualização de processo ou </t>
    </r>
    <r>
      <rPr>
        <b/>
        <i/>
        <sz val="11"/>
        <rFont val="Calibri"/>
        <family val="2"/>
        <scheme val="minor"/>
      </rPr>
      <t>produto</t>
    </r>
    <r>
      <rPr>
        <b/>
        <sz val="11"/>
        <rFont val="Calibri"/>
        <family val="2"/>
        <scheme val="minor"/>
      </rPr>
      <t xml:space="preserve"> visando ao aumento da sustentabilidade.</t>
    </r>
  </si>
  <si>
    <r>
      <t>Os projetos devem utilizar metodologia</t>
    </r>
    <r>
      <rPr>
        <b/>
        <sz val="11"/>
        <color rgb="FF0070C0"/>
        <rFont val="Calibri"/>
        <family val="2"/>
        <scheme val="minor"/>
      </rPr>
      <t>214</t>
    </r>
    <r>
      <rPr>
        <b/>
        <sz val="11"/>
        <rFont val="Calibri"/>
        <family val="2"/>
        <scheme val="minor"/>
      </rPr>
      <t xml:space="preserve"> compatível com o seu porte, complexidade, finalidade e tempestividade</t>
    </r>
    <r>
      <rPr>
        <b/>
        <sz val="11"/>
        <color rgb="FF0070C0"/>
        <rFont val="Calibri"/>
        <family val="2"/>
        <scheme val="minor"/>
      </rPr>
      <t>215</t>
    </r>
    <r>
      <rPr>
        <b/>
        <sz val="11"/>
        <rFont val="Calibri"/>
        <family val="2"/>
        <scheme val="minor"/>
      </rPr>
      <t xml:space="preserve"> requerida e propiciar o seu gerenciamento. </t>
    </r>
  </si>
  <si>
    <r>
      <t xml:space="preserve">Os projetos devem estabelecer fatores de desempenho e </t>
    </r>
    <r>
      <rPr>
        <b/>
        <i/>
        <sz val="11"/>
        <rFont val="Calibri"/>
        <family val="2"/>
        <scheme val="minor"/>
      </rPr>
      <t>indicadores</t>
    </r>
    <r>
      <rPr>
        <b/>
        <sz val="11"/>
        <rFont val="Calibri"/>
        <family val="2"/>
        <scheme val="minor"/>
      </rPr>
      <t xml:space="preserve">, relativos a matérias-primas, insumos, serviços ou informações, adquiridos ou captados, compatíveis com os padrões estabelecidos para os </t>
    </r>
    <r>
      <rPr>
        <b/>
        <i/>
        <sz val="11"/>
        <rFont val="Calibri"/>
        <family val="2"/>
        <scheme val="minor"/>
      </rPr>
      <t>produtos</t>
    </r>
    <r>
      <rPr>
        <b/>
        <sz val="11"/>
        <rFont val="Calibri"/>
        <family val="2"/>
        <scheme val="minor"/>
      </rPr>
      <t xml:space="preserve"> e processos</t>
    </r>
    <r>
      <rPr>
        <b/>
        <sz val="11"/>
        <color rgb="FF0070C0"/>
        <rFont val="Calibri"/>
        <family val="2"/>
        <scheme val="minor"/>
      </rPr>
      <t>216</t>
    </r>
    <r>
      <rPr>
        <b/>
        <sz val="11"/>
        <rFont val="Calibri"/>
        <family val="2"/>
        <scheme val="minor"/>
      </rPr>
      <t>.</t>
    </r>
  </si>
  <si>
    <t>A implementação de projetos deve incluir etapas piloto e intermediárias para avaliar resultados até entrar em operação.</t>
  </si>
  <si>
    <r>
      <t xml:space="preserve">O estabelecimento de padrões e de seu acervo visando a garantir a </t>
    </r>
    <r>
      <rPr>
        <b/>
        <i/>
        <sz val="11"/>
        <rFont val="Calibri"/>
        <family val="2"/>
        <scheme val="minor"/>
      </rPr>
      <t>qualidade</t>
    </r>
    <r>
      <rPr>
        <b/>
        <sz val="11"/>
        <rFont val="Calibri"/>
        <family val="2"/>
        <scheme val="minor"/>
      </rPr>
      <t xml:space="preserve"> dos </t>
    </r>
    <r>
      <rPr>
        <b/>
        <i/>
        <sz val="11"/>
        <rFont val="Calibri"/>
        <family val="2"/>
        <scheme val="minor"/>
      </rPr>
      <t>produtos</t>
    </r>
    <r>
      <rPr>
        <b/>
        <sz val="11"/>
        <rFont val="Calibri"/>
        <family val="2"/>
        <scheme val="minor"/>
      </rPr>
      <t xml:space="preserve"> e dos processos devem ser compatíveis com o ambiente operacional em que serão aplicados e com a capacidade dos executantes os compreenderem.</t>
    </r>
  </si>
  <si>
    <r>
      <t xml:space="preserve">O lançamento de </t>
    </r>
    <r>
      <rPr>
        <b/>
        <i/>
        <sz val="11"/>
        <rFont val="Calibri"/>
        <family val="2"/>
        <scheme val="minor"/>
      </rPr>
      <t xml:space="preserve">produtos </t>
    </r>
    <r>
      <rPr>
        <b/>
        <sz val="11"/>
        <rFont val="Calibri"/>
        <family val="2"/>
        <scheme val="minor"/>
      </rPr>
      <t xml:space="preserve">e início das operações dos processos, sejam novos ou atualizados, devem ser monitorados de maneira particular para possibilitar ajustes rápidos nos padrões, reduzindo possíveis impactos adversos iniciais. </t>
    </r>
  </si>
  <si>
    <t>O desenvolvimento de projetos deve ser realizado com a participação de áreas internas afetadas ou beneficiadas e de partes interessadas, quando aplicável.</t>
  </si>
  <si>
    <r>
      <t xml:space="preserve">Os projetos devem avaliar a incorporação de tecnologias emergentes, incluindo I.A., que aumentem a criação de valor para os clientes, para a organização e para outras partes interessadas, em harmonia com o </t>
    </r>
    <r>
      <rPr>
        <b/>
        <i/>
        <sz val="11"/>
        <rFont val="Calibri"/>
        <family val="2"/>
        <scheme val="minor"/>
      </rPr>
      <t>desenvolvimento sustentável.</t>
    </r>
  </si>
  <si>
    <r>
      <t>Os projetos devem incluir uma avaliação de riscos abrangente</t>
    </r>
    <r>
      <rPr>
        <b/>
        <sz val="11"/>
        <color rgb="FF0070C0"/>
        <rFont val="Calibri"/>
        <family val="2"/>
        <scheme val="minor"/>
      </rPr>
      <t>217</t>
    </r>
    <r>
      <rPr>
        <b/>
        <sz val="11"/>
        <rFont val="Calibri"/>
        <family val="2"/>
        <scheme val="minor"/>
      </rPr>
      <t xml:space="preserve">, o que pode resultar em novos fatores de desempenho a serem monitorados. </t>
    </r>
  </si>
  <si>
    <t>Os projetos devem buscar assegurar:</t>
  </si>
  <si>
    <t>&gt;a confiabilidade dos produtos e processos;</t>
  </si>
  <si>
    <r>
      <t>&gt;a saúde</t>
    </r>
    <r>
      <rPr>
        <b/>
        <sz val="11"/>
        <color rgb="FF0070C0"/>
        <rFont val="Calibri"/>
        <family val="2"/>
        <scheme val="minor"/>
      </rPr>
      <t>218</t>
    </r>
    <r>
      <rPr>
        <b/>
        <sz val="11"/>
        <rFont val="Calibri"/>
        <family val="2"/>
        <scheme val="minor"/>
      </rPr>
      <t>, segurança</t>
    </r>
    <r>
      <rPr>
        <b/>
        <sz val="11"/>
        <color rgb="FF0070C0"/>
        <rFont val="Calibri"/>
        <family val="2"/>
        <scheme val="minor"/>
      </rPr>
      <t>219</t>
    </r>
    <r>
      <rPr>
        <b/>
        <sz val="11"/>
        <rFont val="Calibri"/>
        <family val="2"/>
        <scheme val="minor"/>
      </rPr>
      <t xml:space="preserve"> das pessoas</t>
    </r>
    <r>
      <rPr>
        <b/>
        <sz val="11"/>
        <color rgb="FF0070C0"/>
        <rFont val="Calibri"/>
        <family val="2"/>
        <scheme val="minor"/>
      </rPr>
      <t>220</t>
    </r>
    <r>
      <rPr>
        <b/>
        <sz val="11"/>
        <rFont val="Calibri"/>
        <family val="2"/>
        <scheme val="minor"/>
      </rPr>
      <t xml:space="preserve"> e a diversidade;</t>
    </r>
  </si>
  <si>
    <r>
      <t xml:space="preserve">&gt;o emprego de matérias-primas, insumos e </t>
    </r>
    <r>
      <rPr>
        <b/>
        <i/>
        <sz val="11"/>
        <rFont val="Calibri"/>
        <family val="2"/>
        <scheme val="minor"/>
      </rPr>
      <t>ativos de infraestrutura operacional</t>
    </r>
    <r>
      <rPr>
        <b/>
        <sz val="11"/>
        <rFont val="Calibri"/>
        <family val="2"/>
        <scheme val="minor"/>
      </rPr>
      <t xml:space="preserve"> </t>
    </r>
    <r>
      <rPr>
        <b/>
        <i/>
        <sz val="11"/>
        <rFont val="Calibri"/>
        <family val="2"/>
        <scheme val="minor"/>
      </rPr>
      <t>eco</t>
    </r>
    <r>
      <rPr>
        <b/>
        <sz val="11"/>
        <rFont val="Calibri"/>
        <family val="2"/>
        <scheme val="minor"/>
      </rPr>
      <t xml:space="preserve"> e </t>
    </r>
    <r>
      <rPr>
        <b/>
        <i/>
        <sz val="11"/>
        <rFont val="Calibri"/>
        <family val="2"/>
        <scheme val="minor"/>
      </rPr>
      <t>socioeficientes</t>
    </r>
    <r>
      <rPr>
        <b/>
        <sz val="11"/>
        <rFont val="Calibri"/>
        <family val="2"/>
        <scheme val="minor"/>
      </rPr>
      <t>;</t>
    </r>
  </si>
  <si>
    <t>&gt;a conservação e recuperação do meio ambiente;</t>
  </si>
  <si>
    <t>&gt;a eficiência energética, incluindo uso de fontes renováveis;</t>
  </si>
  <si>
    <r>
      <t>&gt;a neutralização de carbono</t>
    </r>
    <r>
      <rPr>
        <b/>
        <sz val="11"/>
        <color rgb="FF0070C0"/>
        <rFont val="Calibri"/>
        <family val="2"/>
        <scheme val="minor"/>
      </rPr>
      <t>221</t>
    </r>
    <r>
      <rPr>
        <b/>
        <sz val="11"/>
        <rFont val="Calibri"/>
        <family val="2"/>
        <scheme val="minor"/>
      </rPr>
      <t>;</t>
    </r>
  </si>
  <si>
    <t>&gt;a integridade de infraestruturas utilizadas.</t>
  </si>
  <si>
    <r>
      <t xml:space="preserve">Os projetos devem incluir parcerias com outras organizações para potencializar o desempenho de </t>
    </r>
    <r>
      <rPr>
        <b/>
        <i/>
        <sz val="11"/>
        <rFont val="Calibri"/>
        <family val="2"/>
        <scheme val="minor"/>
      </rPr>
      <t>produtos</t>
    </r>
    <r>
      <rPr>
        <b/>
        <sz val="11"/>
        <rFont val="Calibri"/>
        <family val="2"/>
        <scheme val="minor"/>
      </rPr>
      <t xml:space="preserve"> e processos, incluindo a </t>
    </r>
    <r>
      <rPr>
        <b/>
        <i/>
        <sz val="11"/>
        <rFont val="Calibri"/>
        <family val="2"/>
        <scheme val="minor"/>
      </rPr>
      <t>ecoeficiência</t>
    </r>
    <r>
      <rPr>
        <b/>
        <sz val="11"/>
        <rFont val="Calibri"/>
        <family val="2"/>
        <scheme val="minor"/>
      </rPr>
      <t xml:space="preserve"> e o tempo de ciclo de desenvolvimento. </t>
    </r>
  </si>
  <si>
    <r>
      <t xml:space="preserve">As pessoas executantes dos padrões operacionais essenciais para garantir o nível de </t>
    </r>
    <r>
      <rPr>
        <b/>
        <i/>
        <sz val="11"/>
        <rFont val="Calibri"/>
        <family val="2"/>
        <scheme val="minor"/>
      </rPr>
      <t>qualidade</t>
    </r>
    <r>
      <rPr>
        <b/>
        <sz val="11"/>
        <rFont val="Calibri"/>
        <family val="2"/>
        <scheme val="minor"/>
      </rPr>
      <t xml:space="preserve"> projetado para os </t>
    </r>
    <r>
      <rPr>
        <b/>
        <i/>
        <sz val="11"/>
        <rFont val="Calibri"/>
        <family val="2"/>
        <scheme val="minor"/>
      </rPr>
      <t>produtos</t>
    </r>
    <r>
      <rPr>
        <b/>
        <sz val="11"/>
        <rFont val="Calibri"/>
        <family val="2"/>
        <scheme val="minor"/>
      </rPr>
      <t xml:space="preserve"> e processos devem ser formalmente qualificadas</t>
    </r>
    <r>
      <rPr>
        <b/>
        <sz val="11"/>
        <color rgb="FF0070C0"/>
        <rFont val="Calibri"/>
        <family val="2"/>
        <scheme val="minor"/>
      </rPr>
      <t>222</t>
    </r>
    <r>
      <rPr>
        <b/>
        <sz val="11"/>
        <rFont val="Calibri"/>
        <family val="2"/>
        <scheme val="minor"/>
      </rPr>
      <t xml:space="preserve"> e os equipamentos necessários devem ser formalmente homologados ou calibrados.</t>
    </r>
  </si>
  <si>
    <r>
      <t xml:space="preserve">&gt;a sua </t>
    </r>
    <r>
      <rPr>
        <b/>
        <i/>
        <sz val="11"/>
        <rFont val="Calibri"/>
        <family val="2"/>
        <scheme val="minor"/>
      </rPr>
      <t>governança</t>
    </r>
    <r>
      <rPr>
        <b/>
        <sz val="11"/>
        <color rgb="FF0070C0"/>
        <rFont val="Calibri"/>
        <family val="2"/>
        <scheme val="minor"/>
      </rPr>
      <t>223</t>
    </r>
    <r>
      <rPr>
        <b/>
        <sz val="11"/>
        <rFont val="Calibri"/>
        <family val="2"/>
        <scheme val="minor"/>
      </rPr>
      <t>;</t>
    </r>
  </si>
  <si>
    <t>&gt;a busca de agilidade para a antecipação de ganhos;</t>
  </si>
  <si>
    <r>
      <t xml:space="preserve">&gt;a </t>
    </r>
    <r>
      <rPr>
        <b/>
        <i/>
        <sz val="11"/>
        <rFont val="Calibri"/>
        <family val="2"/>
        <scheme val="minor"/>
      </rPr>
      <t>socioeficiência</t>
    </r>
    <r>
      <rPr>
        <b/>
        <sz val="11"/>
        <rFont val="Calibri"/>
        <family val="2"/>
        <scheme val="minor"/>
      </rPr>
      <t>, incluindo a igualdade de gênero</t>
    </r>
    <r>
      <rPr>
        <b/>
        <sz val="11"/>
        <color rgb="FF0070C0"/>
        <rFont val="Calibri"/>
        <family val="2"/>
        <scheme val="minor"/>
      </rPr>
      <t>224</t>
    </r>
    <r>
      <rPr>
        <b/>
        <sz val="11"/>
        <rFont val="Calibri"/>
        <family val="2"/>
        <scheme val="minor"/>
      </rPr>
      <t>, a mobilização e desmobilização sustentável de contingentes de trabalhadores alocados durante a implantação dos projetos;</t>
    </r>
  </si>
  <si>
    <r>
      <t xml:space="preserve">&gt;a confiabilidade, a mantenabilidade e o custo otimizado  do ciclo de vida de </t>
    </r>
    <r>
      <rPr>
        <b/>
        <i/>
        <sz val="11"/>
        <rFont val="Calibri"/>
        <family val="2"/>
        <scheme val="minor"/>
      </rPr>
      <t>ativos de infraestrutura operacional</t>
    </r>
    <r>
      <rPr>
        <b/>
        <sz val="11"/>
        <rFont val="Calibri"/>
        <family val="2"/>
        <scheme val="minor"/>
      </rPr>
      <t>;</t>
    </r>
  </si>
  <si>
    <t>&gt;a durabilidade de bens produzidos;</t>
  </si>
  <si>
    <r>
      <t>&gt;a reciclagem ou reutilização, com logística reversa aplicável, em cadeias de suprimentos própria ou de terceiros, de subprodutos</t>
    </r>
    <r>
      <rPr>
        <b/>
        <sz val="11"/>
        <color rgb="FF0070C0"/>
        <rFont val="Calibri"/>
        <family val="2"/>
        <scheme val="minor"/>
      </rPr>
      <t>225</t>
    </r>
    <r>
      <rPr>
        <b/>
        <sz val="11"/>
        <rFont val="Calibri"/>
        <family val="2"/>
        <scheme val="minor"/>
      </rPr>
      <t xml:space="preserve"> da produção e do consumo; de subprodutos e bens consumidos;</t>
    </r>
  </si>
  <si>
    <r>
      <t>&gt;a minimização de emissões de gases do efeito estufa</t>
    </r>
    <r>
      <rPr>
        <b/>
        <sz val="11"/>
        <color rgb="FF0070C0"/>
        <rFont val="Calibri"/>
        <family val="2"/>
        <scheme val="minor"/>
      </rPr>
      <t>226</t>
    </r>
    <r>
      <rPr>
        <b/>
        <sz val="11"/>
        <rFont val="Calibri"/>
        <family val="2"/>
        <scheme val="minor"/>
      </rPr>
      <t>;</t>
    </r>
  </si>
  <si>
    <r>
      <t>&gt;a negativação de carbono</t>
    </r>
    <r>
      <rPr>
        <b/>
        <sz val="11"/>
        <color rgb="FF0070C0"/>
        <rFont val="Calibri"/>
        <family val="2"/>
        <scheme val="minor"/>
      </rPr>
      <t>227</t>
    </r>
    <r>
      <rPr>
        <b/>
        <sz val="11"/>
        <rFont val="Calibri"/>
        <family val="2"/>
        <scheme val="minor"/>
      </rPr>
      <t>, quando aplicável.</t>
    </r>
  </si>
  <si>
    <r>
      <t xml:space="preserve">Os padrões operacionais essenciais para garantir o nível de </t>
    </r>
    <r>
      <rPr>
        <b/>
        <i/>
        <sz val="11"/>
        <rFont val="Calibri"/>
        <family val="2"/>
        <scheme val="minor"/>
      </rPr>
      <t>qualidade</t>
    </r>
    <r>
      <rPr>
        <b/>
        <sz val="11"/>
        <rFont val="Calibri"/>
        <family val="2"/>
        <scheme val="minor"/>
      </rPr>
      <t xml:space="preserve"> projetado devem ser definidos utilizando análise</t>
    </r>
    <r>
      <rPr>
        <b/>
        <sz val="11"/>
        <color rgb="FF0070C0"/>
        <rFont val="Calibri"/>
        <family val="2"/>
        <scheme val="minor"/>
      </rPr>
      <t>228</t>
    </r>
    <r>
      <rPr>
        <b/>
        <sz val="11"/>
        <rFont val="Calibri"/>
        <family val="2"/>
        <scheme val="minor"/>
      </rPr>
      <t xml:space="preserve"> de </t>
    </r>
    <r>
      <rPr>
        <b/>
        <i/>
        <sz val="11"/>
        <rFont val="Calibri"/>
        <family val="2"/>
        <scheme val="minor"/>
      </rPr>
      <t>riscos</t>
    </r>
    <r>
      <rPr>
        <b/>
        <sz val="11"/>
        <rFont val="Calibri"/>
        <family val="2"/>
        <scheme val="minor"/>
      </rPr>
      <t xml:space="preserve"> de ocorrência de falhas para atender aos fatores de desempenho.</t>
    </r>
  </si>
  <si>
    <t>7.1c</t>
  </si>
  <si>
    <t>c) Monitoramento do desempenho dos processos</t>
  </si>
  <si>
    <r>
      <t xml:space="preserve">Tem a finalidade de </t>
    </r>
    <r>
      <rPr>
        <b/>
        <u/>
        <sz val="10"/>
        <rFont val="Calibri"/>
        <family val="2"/>
        <scheme val="minor"/>
      </rPr>
      <t>verificar</t>
    </r>
    <r>
      <rPr>
        <b/>
        <sz val="10"/>
        <rFont val="Calibri"/>
        <family val="2"/>
        <scheme val="minor"/>
      </rPr>
      <t xml:space="preserve"> se os padrões operacionais, essenciais para garantir a </t>
    </r>
    <r>
      <rPr>
        <b/>
        <i/>
        <sz val="10"/>
        <rFont val="Calibri"/>
        <family val="2"/>
        <scheme val="minor"/>
      </rPr>
      <t>qualidade</t>
    </r>
    <r>
      <rPr>
        <b/>
        <sz val="10"/>
        <rFont val="Calibri"/>
        <family val="2"/>
        <scheme val="minor"/>
      </rPr>
      <t xml:space="preserve"> dos </t>
    </r>
    <r>
      <rPr>
        <b/>
        <i/>
        <sz val="10"/>
        <rFont val="Calibri"/>
        <family val="2"/>
        <scheme val="minor"/>
      </rPr>
      <t>produtos</t>
    </r>
    <r>
      <rPr>
        <b/>
        <sz val="10"/>
        <rFont val="Calibri"/>
        <family val="2"/>
        <scheme val="minor"/>
      </rPr>
      <t xml:space="preserve"> e processos, estão sendo cumpridos e observando os fatores de desempenho estabelecidos no projeto.</t>
    </r>
  </si>
  <si>
    <t>Os padrões operacionais, atualizados, devem ser de fácil consulta pelas pessoas executantes.</t>
  </si>
  <si>
    <r>
      <t>O gerenciamento do desempenho dos processos operacionais primários e de suporte deve ser realizado por meio de ferramentas de controle</t>
    </r>
    <r>
      <rPr>
        <b/>
        <sz val="11"/>
        <color rgb="FF0070C0"/>
        <rFont val="Calibri"/>
        <family val="2"/>
        <scheme val="minor"/>
      </rPr>
      <t>229</t>
    </r>
    <r>
      <rPr>
        <b/>
        <sz val="11"/>
        <rFont val="Calibri"/>
        <family val="2"/>
        <scheme val="minor"/>
      </rPr>
      <t xml:space="preserve"> que garantam o cumprimento dos padrões, incluindo </t>
    </r>
    <r>
      <rPr>
        <b/>
        <i/>
        <sz val="11"/>
        <rFont val="Calibri"/>
        <family val="2"/>
        <scheme val="minor"/>
      </rPr>
      <t>indicadores</t>
    </r>
    <r>
      <rPr>
        <b/>
        <sz val="11"/>
        <rFont val="Calibri"/>
        <family val="2"/>
        <scheme val="minor"/>
      </rPr>
      <t xml:space="preserve"> com metas.</t>
    </r>
  </si>
  <si>
    <r>
      <t>As ações corretivas de não conformidades</t>
    </r>
    <r>
      <rPr>
        <b/>
        <sz val="11"/>
        <color rgb="FF0070C0"/>
        <rFont val="Calibri"/>
        <family val="2"/>
        <scheme val="minor"/>
      </rPr>
      <t>230</t>
    </r>
    <r>
      <rPr>
        <b/>
        <sz val="11"/>
        <rFont val="Calibri"/>
        <family val="2"/>
        <scheme val="minor"/>
      </rPr>
      <t xml:space="preserve"> devem ser definidas </t>
    </r>
    <r>
      <rPr>
        <b/>
        <sz val="11"/>
        <color rgb="FF0070C0"/>
        <rFont val="Calibri"/>
        <family val="2"/>
        <scheme val="minor"/>
      </rPr>
      <t>com registro</t>
    </r>
    <r>
      <rPr>
        <b/>
        <sz val="11"/>
        <rFont val="Calibri"/>
        <family val="2"/>
        <scheme val="minor"/>
      </rPr>
      <t xml:space="preserve"> dos eventos.</t>
    </r>
  </si>
  <si>
    <t>As não conformidades devem ter suas causas-raízes investigadas e tratadas, com registro dos eventos.</t>
  </si>
  <si>
    <t>O gerenciamento do desempenho dos processos deve ser realizado de forma participativa, quando aplicável, e deve utilizar técnica de verificação de cumprimento de padrões.</t>
  </si>
  <si>
    <t>Os eventos e lições aprendidas associados a ações corretivas devem ser compartilhados com todos os afetados pela ocorrência ou pelas ações corretivas.</t>
  </si>
  <si>
    <t>O gerenciamento do desempenho dos processos deve incluir a identificação de ações preventivas para evitar ocorrência de não conformidades.</t>
  </si>
  <si>
    <t>A eficácia das ações corretivas e preventivas e de tratamento das causas-raízes deve ser confirmada, com registro dos eventos.</t>
  </si>
  <si>
    <r>
      <t xml:space="preserve">A aplicação e o monitoramento dos padrões operacionais devem ser agilizados com o emprego de </t>
    </r>
    <r>
      <rPr>
        <b/>
        <i/>
        <sz val="11"/>
        <rFont val="Calibri"/>
        <family val="2"/>
        <scheme val="minor"/>
      </rPr>
      <t>tecnologia digital</t>
    </r>
    <r>
      <rPr>
        <b/>
        <sz val="11"/>
        <rFont val="Calibri"/>
        <family val="2"/>
        <scheme val="minor"/>
      </rPr>
      <t>.</t>
    </r>
  </si>
  <si>
    <r>
      <t xml:space="preserve">Os eventos associados a ações corretivas e preventivas devem ser compartilhados com outras áreas e </t>
    </r>
    <r>
      <rPr>
        <b/>
        <i/>
        <sz val="11"/>
        <rFont val="Calibri"/>
        <family val="2"/>
        <scheme val="minor"/>
      </rPr>
      <t>partes interessadas</t>
    </r>
    <r>
      <rPr>
        <b/>
        <sz val="11"/>
        <rFont val="Calibri"/>
        <family val="2"/>
        <scheme val="minor"/>
      </rPr>
      <t xml:space="preserve"> aplicáveis, com potencial similar de impacto.</t>
    </r>
  </si>
  <si>
    <t>O cumprimento de padrões e o atendimento aos fatores de desempenho dos processos operacionais primários e de suporte devem ser autogerenciados pelos executantes e deve ser apoiado por ferramentas de alerta preventivo sobre potenciais não conformidades.</t>
  </si>
  <si>
    <t>7.1d</t>
  </si>
  <si>
    <t>d) Análise e melhoria de processos e produtos</t>
  </si>
  <si>
    <r>
      <t xml:space="preserve">Têm as finalidades de </t>
    </r>
    <r>
      <rPr>
        <b/>
        <u/>
        <sz val="10"/>
        <rFont val="Calibri"/>
        <family val="2"/>
        <scheme val="minor"/>
      </rPr>
      <t>investigar</t>
    </r>
    <r>
      <rPr>
        <b/>
        <sz val="10"/>
        <rFont val="Calibri"/>
        <family val="2"/>
        <scheme val="minor"/>
      </rPr>
      <t xml:space="preserve"> oportunidades para otimizar as operações, </t>
    </r>
    <r>
      <rPr>
        <b/>
        <u/>
        <sz val="10"/>
        <rFont val="Calibri"/>
        <family val="2"/>
        <scheme val="minor"/>
      </rPr>
      <t>priorizar</t>
    </r>
    <r>
      <rPr>
        <b/>
        <sz val="10"/>
        <rFont val="Calibri"/>
        <family val="2"/>
        <scheme val="minor"/>
      </rPr>
      <t xml:space="preserve"> e </t>
    </r>
    <r>
      <rPr>
        <b/>
        <u/>
        <sz val="10"/>
        <rFont val="Calibri"/>
        <family val="2"/>
        <scheme val="minor"/>
      </rPr>
      <t>implementar</t>
    </r>
    <r>
      <rPr>
        <b/>
        <sz val="10"/>
        <rFont val="Calibri"/>
        <family val="2"/>
        <scheme val="minor"/>
      </rPr>
      <t xml:space="preserve"> ações de melhoria da performance, incluindo </t>
    </r>
    <r>
      <rPr>
        <b/>
        <i/>
        <sz val="10"/>
        <rFont val="Calibri"/>
        <family val="2"/>
        <scheme val="minor"/>
      </rPr>
      <t>eco</t>
    </r>
    <r>
      <rPr>
        <b/>
        <sz val="10"/>
        <rFont val="Calibri"/>
        <family val="2"/>
        <scheme val="minor"/>
      </rPr>
      <t xml:space="preserve"> e </t>
    </r>
    <r>
      <rPr>
        <b/>
        <i/>
        <sz val="10"/>
        <rFont val="Calibri"/>
        <family val="2"/>
        <scheme val="minor"/>
      </rPr>
      <t>socioeficiência</t>
    </r>
    <r>
      <rPr>
        <b/>
        <sz val="10"/>
        <rFont val="Calibri"/>
        <family val="2"/>
        <scheme val="minor"/>
      </rPr>
      <t xml:space="preserve">, e de mitigação de </t>
    </r>
    <r>
      <rPr>
        <b/>
        <i/>
        <sz val="10"/>
        <rFont val="Calibri"/>
        <family val="2"/>
        <scheme val="minor"/>
      </rPr>
      <t>riscos</t>
    </r>
    <r>
      <rPr>
        <b/>
        <sz val="10"/>
        <rFont val="Calibri"/>
        <family val="2"/>
        <scheme val="minor"/>
      </rPr>
      <t xml:space="preserve">, bem como </t>
    </r>
    <r>
      <rPr>
        <b/>
        <u/>
        <sz val="10"/>
        <rFont val="Calibri"/>
        <family val="2"/>
        <scheme val="minor"/>
      </rPr>
      <t>proporciona</t>
    </r>
    <r>
      <rPr>
        <b/>
        <sz val="10"/>
        <rFont val="Calibri"/>
        <family val="2"/>
        <scheme val="minor"/>
      </rPr>
      <t xml:space="preserve">r mudanças nos padrões para que as melhorias sejam perenes. </t>
    </r>
  </si>
  <si>
    <r>
      <t xml:space="preserve">Citar exemplo recente de melhoria incorporada em processo ou </t>
    </r>
    <r>
      <rPr>
        <b/>
        <i/>
        <sz val="11"/>
        <rFont val="Calibri"/>
        <family val="2"/>
        <scheme val="minor"/>
      </rPr>
      <t>produto</t>
    </r>
    <r>
      <rPr>
        <b/>
        <sz val="11"/>
        <rFont val="Calibri"/>
        <family val="2"/>
        <scheme val="minor"/>
      </rPr>
      <t xml:space="preserve"> visando o aumento da sustentabilidade.</t>
    </r>
  </si>
  <si>
    <t>A análise e a melhoria devem ser realizadas de forma participativa.</t>
  </si>
  <si>
    <t>A análise e desenvolvimento de melhorias devem ser realizadas com apoio de metodologia, de forma integrada com outras áreas aplicáveis, e devem incluir os aspectos socioambientais.</t>
  </si>
  <si>
    <r>
      <t>As melhorias</t>
    </r>
    <r>
      <rPr>
        <b/>
        <sz val="11"/>
        <color rgb="FF0070C0"/>
        <rFont val="Calibri"/>
        <family val="2"/>
        <scheme val="minor"/>
      </rPr>
      <t>231</t>
    </r>
    <r>
      <rPr>
        <b/>
        <sz val="11"/>
        <rFont val="Calibri"/>
        <family val="2"/>
        <scheme val="minor"/>
      </rPr>
      <t xml:space="preserve"> propostas devem indicar o retorno potencial para as </t>
    </r>
    <r>
      <rPr>
        <b/>
        <i/>
        <sz val="11"/>
        <rFont val="Calibri"/>
        <family val="2"/>
        <scheme val="minor"/>
      </rPr>
      <t xml:space="preserve">partes interessadas </t>
    </r>
    <r>
      <rPr>
        <b/>
        <sz val="11"/>
        <rFont val="Calibri"/>
        <family val="2"/>
        <scheme val="minor"/>
      </rPr>
      <t>beneficiadas.</t>
    </r>
  </si>
  <si>
    <t>Os eventos e lições aprendidas associados às melhorias implementadas devem ser compartilhados com todos os envolvidos com o produto ou processo.</t>
  </si>
  <si>
    <r>
      <t xml:space="preserve">A análise deve incluir a avaliação da variabilidade, confiabilidade, </t>
    </r>
    <r>
      <rPr>
        <b/>
        <i/>
        <sz val="11"/>
        <rFont val="Calibri"/>
        <family val="2"/>
        <scheme val="minor"/>
      </rPr>
      <t>riscos</t>
    </r>
    <r>
      <rPr>
        <b/>
        <sz val="11"/>
        <rFont val="Calibri"/>
        <family val="2"/>
        <scheme val="minor"/>
      </rPr>
      <t xml:space="preserve">, produtividade, eficácia, eficiência, </t>
    </r>
    <r>
      <rPr>
        <b/>
        <i/>
        <sz val="11"/>
        <rFont val="Calibri"/>
        <family val="2"/>
        <scheme val="minor"/>
      </rPr>
      <t>eco</t>
    </r>
    <r>
      <rPr>
        <b/>
        <sz val="11"/>
        <rFont val="Calibri"/>
        <family val="2"/>
        <scheme val="minor"/>
      </rPr>
      <t xml:space="preserve"> e </t>
    </r>
    <r>
      <rPr>
        <b/>
        <i/>
        <sz val="11"/>
        <rFont val="Calibri"/>
        <family val="2"/>
        <scheme val="minor"/>
      </rPr>
      <t>socioeficiência</t>
    </r>
    <r>
      <rPr>
        <b/>
        <sz val="11"/>
        <rFont val="Calibri"/>
        <family val="2"/>
        <scheme val="minor"/>
      </rPr>
      <t xml:space="preserve">, quando aplicável.  </t>
    </r>
  </si>
  <si>
    <r>
      <t xml:space="preserve">A análise deve incluir a investigação comparativa de características de processos e </t>
    </r>
    <r>
      <rPr>
        <b/>
        <i/>
        <sz val="11"/>
        <rFont val="Calibri"/>
        <family val="2"/>
        <scheme val="minor"/>
      </rPr>
      <t>produtos</t>
    </r>
    <r>
      <rPr>
        <b/>
        <sz val="11"/>
        <rFont val="Calibri"/>
        <family val="2"/>
        <scheme val="minor"/>
      </rPr>
      <t xml:space="preserve"> com finalidade similar em concorrentes ou outras organizações de referência, dentro ou fora do setor, escolhidas com critério que proporcione maior potencial de aprendizado.</t>
    </r>
  </si>
  <si>
    <t>As melhorias potenciais devem ser avaliadas em termos de retornos econômicos e socioambientais para se estabelecer prioridades.</t>
  </si>
  <si>
    <t>As melhorias propostas devem avaliar o emprego de novas tecnologias e envolver representantes das partes interessadas mais afetadas.</t>
  </si>
  <si>
    <t>Os eventos associados a melhorias implementadas devem ser compartilhados com outras áreas e partes interessadas aplicáveis, com potencial de impacto.</t>
  </si>
  <si>
    <r>
      <t xml:space="preserve">As oportunidades com potencial de melhorar o desempenho de </t>
    </r>
    <r>
      <rPr>
        <b/>
        <i/>
        <sz val="11"/>
        <rFont val="Calibri"/>
        <family val="2"/>
        <scheme val="minor"/>
      </rPr>
      <t>fornecedores</t>
    </r>
    <r>
      <rPr>
        <b/>
        <sz val="11"/>
        <rFont val="Calibri"/>
        <family val="2"/>
        <scheme val="minor"/>
      </rPr>
      <t xml:space="preserve"> ou a satisfação dos </t>
    </r>
    <r>
      <rPr>
        <b/>
        <i/>
        <sz val="11"/>
        <rFont val="Calibri"/>
        <family val="2"/>
        <scheme val="minor"/>
      </rPr>
      <t xml:space="preserve">clientes </t>
    </r>
    <r>
      <rPr>
        <b/>
        <sz val="11"/>
        <rFont val="Calibri"/>
        <family val="2"/>
        <scheme val="minor"/>
      </rPr>
      <t>ou de comunidades da esfera de influência, direta ou indiretamente, devem ter esse potencial confirmado e a melhoria deve ser efetivada com a participação dessas partes.</t>
    </r>
  </si>
  <si>
    <r>
      <t xml:space="preserve">A avaliação do potencial de as oportunidades trazerem melhorias em processos complexos deve considerar o uso de simulações ou </t>
    </r>
    <r>
      <rPr>
        <b/>
        <i/>
        <sz val="11"/>
        <rFont val="Calibri"/>
        <family val="2"/>
        <scheme val="minor"/>
      </rPr>
      <t>gêmeos digitais</t>
    </r>
    <r>
      <rPr>
        <b/>
        <sz val="11"/>
        <rFont val="Calibri"/>
        <family val="2"/>
        <scheme val="minor"/>
      </rPr>
      <t>.</t>
    </r>
  </si>
  <si>
    <t>O retorno esperado, das melhorias implementadas, deve ser confirmado.</t>
  </si>
  <si>
    <t>7.2</t>
  </si>
  <si>
    <t>7.2 Processos de fornecimento</t>
  </si>
  <si>
    <t>7.2a</t>
  </si>
  <si>
    <r>
      <t>a) Desenvolvimento sustentável da cadeia</t>
    </r>
    <r>
      <rPr>
        <b/>
        <sz val="10"/>
        <color rgb="FF0070C0"/>
        <rFont val="Calibri"/>
        <family val="2"/>
        <scheme val="minor"/>
      </rPr>
      <t>210</t>
    </r>
    <r>
      <rPr>
        <b/>
        <sz val="10"/>
        <rFont val="Calibri"/>
        <family val="2"/>
        <scheme val="minor"/>
      </rPr>
      <t xml:space="preserve"> de suprimentos</t>
    </r>
  </si>
  <si>
    <r>
      <t xml:space="preserve">Visa a </t>
    </r>
    <r>
      <rPr>
        <b/>
        <u/>
        <sz val="10"/>
        <color rgb="FF0070C0"/>
        <rFont val="Calibri"/>
        <family val="2"/>
        <scheme val="minor"/>
      </rPr>
      <t>pesquisar</t>
    </r>
    <r>
      <rPr>
        <b/>
        <sz val="10"/>
        <rFont val="Calibri"/>
        <family val="2"/>
        <scheme val="minor"/>
      </rPr>
      <t xml:space="preserve"> e </t>
    </r>
    <r>
      <rPr>
        <b/>
        <u/>
        <sz val="10"/>
        <color rgb="FF0070C0"/>
        <rFont val="Calibri"/>
        <family val="2"/>
        <scheme val="minor"/>
      </rPr>
      <t>desenvolver</t>
    </r>
    <r>
      <rPr>
        <b/>
        <sz val="10"/>
        <rFont val="Calibri"/>
        <family val="2"/>
        <scheme val="minor"/>
      </rPr>
      <t xml:space="preserve"> no mercado ou no meio ambiente, </t>
    </r>
    <r>
      <rPr>
        <b/>
        <sz val="10"/>
        <color rgb="FF0070C0"/>
        <rFont val="Calibri"/>
        <family val="2"/>
        <scheme val="minor"/>
      </rPr>
      <t>fontes potenciais de ma</t>
    </r>
    <r>
      <rPr>
        <b/>
        <sz val="10"/>
        <rFont val="Calibri"/>
        <family val="2"/>
        <scheme val="minor"/>
      </rPr>
      <t xml:space="preserve">térias-primas, insumos, serviços ou informações, </t>
    </r>
    <r>
      <rPr>
        <b/>
        <sz val="10"/>
        <color rgb="FF0070C0"/>
        <rFont val="Calibri"/>
        <family val="2"/>
        <scheme val="minor"/>
      </rPr>
      <t>que atendam os requisitos</t>
    </r>
    <r>
      <rPr>
        <b/>
        <sz val="10"/>
        <rFont val="Calibri"/>
        <family val="2"/>
        <scheme val="minor"/>
      </rPr>
      <t xml:space="preserve"> do projeto dos </t>
    </r>
    <r>
      <rPr>
        <b/>
        <i/>
        <sz val="10"/>
        <rFont val="Calibri"/>
        <family val="2"/>
        <scheme val="minor"/>
      </rPr>
      <t>produtos</t>
    </r>
    <r>
      <rPr>
        <b/>
        <sz val="10"/>
        <rFont val="Calibri"/>
        <family val="2"/>
        <scheme val="minor"/>
      </rPr>
      <t xml:space="preserve"> e dos processos, a demanda prevista e o </t>
    </r>
    <r>
      <rPr>
        <b/>
        <i/>
        <sz val="10"/>
        <rFont val="Calibri"/>
        <family val="2"/>
        <scheme val="minor"/>
      </rPr>
      <t>desenvolvimento sustentável</t>
    </r>
    <r>
      <rPr>
        <b/>
        <sz val="10"/>
        <rFont val="Calibri"/>
        <family val="2"/>
        <scheme val="minor"/>
      </rPr>
      <t xml:space="preserve">, incluindo a economia circular e o bem-estar das pessoas. </t>
    </r>
  </si>
  <si>
    <t>A procura por fornecedores233  potenciais deve selecionar os competitivos e socioambientalmente responsáveis.</t>
  </si>
  <si>
    <t>A procura por recursos naturais e soluções baseadas na natureza deve avaliar impactos ao ecossistema das fontes de uso ou extração potenciais.</t>
  </si>
  <si>
    <r>
      <t xml:space="preserve">O trabalho infantil, degradante, forçado ou inseguro deve ser prevenido, verificado e denunciado na busca por </t>
    </r>
    <r>
      <rPr>
        <b/>
        <i/>
        <sz val="11"/>
        <rFont val="Calibri"/>
        <family val="2"/>
        <scheme val="minor"/>
      </rPr>
      <t>fornecedores</t>
    </r>
    <r>
      <rPr>
        <b/>
        <sz val="11"/>
        <rFont val="Calibri"/>
        <family val="2"/>
        <scheme val="minor"/>
      </rPr>
      <t xml:space="preserve"> na </t>
    </r>
    <r>
      <rPr>
        <b/>
        <i/>
        <sz val="11"/>
        <rFont val="Calibri"/>
        <family val="2"/>
        <scheme val="minor"/>
      </rPr>
      <t>cadeia de suprimentos</t>
    </r>
    <r>
      <rPr>
        <b/>
        <sz val="11"/>
        <rFont val="Calibri"/>
        <family val="2"/>
        <scheme val="minor"/>
      </rPr>
      <t>.</t>
    </r>
  </si>
  <si>
    <t xml:space="preserve">O impacto da captação de recursos naturais não renováveis deve ser minimizado e o meio ambiente de captação deve ser protegido com meios de restauração. </t>
  </si>
  <si>
    <t xml:space="preserve">O progresso econômico, social e ambiental deve ser estimulado por meio de aquisições nas regiões do entorno das instalações, quando aplicável. </t>
  </si>
  <si>
    <r>
      <t xml:space="preserve">O emprego de matérias-primas, insumos e </t>
    </r>
    <r>
      <rPr>
        <b/>
        <i/>
        <sz val="11"/>
        <rFont val="Calibri"/>
        <family val="2"/>
        <scheme val="minor"/>
      </rPr>
      <t>ativos de infraestrutura operacional</t>
    </r>
    <r>
      <rPr>
        <b/>
        <sz val="11"/>
        <rFont val="Calibri"/>
        <family val="2"/>
        <scheme val="minor"/>
      </rPr>
      <t xml:space="preserve"> </t>
    </r>
    <r>
      <rPr>
        <b/>
        <i/>
        <sz val="11"/>
        <rFont val="Calibri"/>
        <family val="2"/>
        <scheme val="minor"/>
      </rPr>
      <t>eco</t>
    </r>
    <r>
      <rPr>
        <b/>
        <sz val="11"/>
        <rFont val="Calibri"/>
        <family val="2"/>
        <scheme val="minor"/>
      </rPr>
      <t xml:space="preserve"> e </t>
    </r>
    <r>
      <rPr>
        <b/>
        <i/>
        <sz val="11"/>
        <rFont val="Calibri"/>
        <family val="2"/>
        <scheme val="minor"/>
      </rPr>
      <t xml:space="preserve">socioeficientes </t>
    </r>
    <r>
      <rPr>
        <b/>
        <sz val="11"/>
        <rFont val="Calibri"/>
        <family val="2"/>
        <scheme val="minor"/>
      </rPr>
      <t xml:space="preserve">deve ser estimulado junto aos </t>
    </r>
    <r>
      <rPr>
        <b/>
        <i/>
        <sz val="11"/>
        <rFont val="Calibri"/>
        <family val="2"/>
        <scheme val="minor"/>
      </rPr>
      <t>fornecedores</t>
    </r>
    <r>
      <rPr>
        <b/>
        <sz val="11"/>
        <rFont val="Calibri"/>
        <family val="2"/>
        <scheme val="minor"/>
      </rPr>
      <t>.</t>
    </r>
  </si>
  <si>
    <t>A inclusão social e igualdade de gênero devem ser estimuladas junto aos fornecedores.</t>
  </si>
  <si>
    <r>
      <t xml:space="preserve">O desenvolvimento integrado da </t>
    </r>
    <r>
      <rPr>
        <b/>
        <i/>
        <sz val="11"/>
        <rFont val="Calibri"/>
        <family val="2"/>
        <scheme val="minor"/>
      </rPr>
      <t>cadeia de suprimentos</t>
    </r>
    <r>
      <rPr>
        <b/>
        <sz val="11"/>
        <rFont val="Calibri"/>
        <family val="2"/>
        <scheme val="minor"/>
      </rPr>
      <t xml:space="preserve"> deve maximizar o potencial de redução, reutilização e reciclagem de materiais e a integridade dos </t>
    </r>
    <r>
      <rPr>
        <b/>
        <i/>
        <sz val="11"/>
        <rFont val="Calibri"/>
        <family val="2"/>
        <scheme val="minor"/>
      </rPr>
      <t>ativos de infraestrutura operacional</t>
    </r>
    <r>
      <rPr>
        <b/>
        <sz val="11"/>
        <rFont val="Calibri"/>
        <family val="2"/>
        <scheme val="minor"/>
      </rPr>
      <t xml:space="preserve"> e de bens produzidos.</t>
    </r>
  </si>
  <si>
    <r>
      <t xml:space="preserve">A neutralização ou negativação de carbono </t>
    </r>
    <r>
      <rPr>
        <b/>
        <sz val="11"/>
        <color rgb="FF0070C0"/>
        <rFont val="Calibri"/>
        <family val="2"/>
        <scheme val="minor"/>
      </rPr>
      <t xml:space="preserve">e sua avaliação </t>
    </r>
    <r>
      <rPr>
        <b/>
        <sz val="11"/>
        <rFont val="Calibri"/>
        <family val="2"/>
        <scheme val="minor"/>
      </rPr>
      <t>devem ser estimuladas junto aos fornecedores.</t>
    </r>
  </si>
  <si>
    <t>7.2b</t>
  </si>
  <si>
    <r>
      <t>b)  Qualificação e seleção</t>
    </r>
    <r>
      <rPr>
        <b/>
        <sz val="10"/>
        <color rgb="FF0070C0"/>
        <rFont val="Calibri"/>
        <family val="2"/>
        <scheme val="minor"/>
      </rPr>
      <t>212</t>
    </r>
    <r>
      <rPr>
        <b/>
        <sz val="10"/>
        <rFont val="Calibri"/>
        <family val="2"/>
        <scheme val="minor"/>
      </rPr>
      <t xml:space="preserve"> de fornecedores sustentáveis</t>
    </r>
  </si>
  <si>
    <r>
      <t xml:space="preserve">A qualificação tem a finalidade de </t>
    </r>
    <r>
      <rPr>
        <b/>
        <u/>
        <sz val="10"/>
        <rFont val="Calibri"/>
        <family val="2"/>
        <scheme val="minor"/>
      </rPr>
      <t>catalogar</t>
    </r>
    <r>
      <rPr>
        <b/>
        <sz val="10"/>
        <rFont val="Calibri"/>
        <family val="2"/>
        <scheme val="minor"/>
      </rPr>
      <t xml:space="preserve"> </t>
    </r>
    <r>
      <rPr>
        <b/>
        <i/>
        <sz val="10"/>
        <rFont val="Calibri"/>
        <family val="2"/>
        <scheme val="minor"/>
      </rPr>
      <t>fornecedores</t>
    </r>
    <r>
      <rPr>
        <b/>
        <sz val="10"/>
        <rFont val="Calibri"/>
        <family val="2"/>
        <scheme val="minor"/>
      </rPr>
      <t xml:space="preserve"> candidatos que possuam as aptidões necessárias, inclusive de responsabilidade socioambiental, para atenderem aos requisitos de fornecimento e para se tornarem </t>
    </r>
    <r>
      <rPr>
        <b/>
        <i/>
        <sz val="10"/>
        <rFont val="Calibri"/>
        <family val="2"/>
        <scheme val="minor"/>
      </rPr>
      <t>fornecedores</t>
    </r>
    <r>
      <rPr>
        <b/>
        <sz val="10"/>
        <rFont val="Calibri"/>
        <family val="2"/>
        <scheme val="minor"/>
      </rPr>
      <t xml:space="preserve"> e a seleção tem por objetivo </t>
    </r>
    <r>
      <rPr>
        <b/>
        <u/>
        <sz val="10"/>
        <rFont val="Calibri"/>
        <family val="2"/>
        <scheme val="minor"/>
      </rPr>
      <t xml:space="preserve">definir </t>
    </r>
    <r>
      <rPr>
        <b/>
        <sz val="10"/>
        <rFont val="Calibri"/>
        <family val="2"/>
        <scheme val="minor"/>
      </rPr>
      <t xml:space="preserve">a melhor opção de fornecimento, ponderando os fatores de desempenho relevantes para a organização e para o </t>
    </r>
    <r>
      <rPr>
        <b/>
        <i/>
        <sz val="10"/>
        <rFont val="Calibri"/>
        <family val="2"/>
        <scheme val="minor"/>
      </rPr>
      <t>desenvolvimento sustentável</t>
    </r>
    <r>
      <rPr>
        <b/>
        <sz val="10"/>
        <rFont val="Calibri"/>
        <family val="2"/>
        <scheme val="minor"/>
      </rPr>
      <t>.</t>
    </r>
  </si>
  <si>
    <r>
      <t xml:space="preserve">As necessidades e expectativas dos </t>
    </r>
    <r>
      <rPr>
        <b/>
        <i/>
        <sz val="11"/>
        <rFont val="Calibri"/>
        <family val="2"/>
        <scheme val="minor"/>
      </rPr>
      <t>fornecedores</t>
    </r>
    <r>
      <rPr>
        <b/>
        <sz val="11"/>
        <rFont val="Calibri"/>
        <family val="2"/>
        <scheme val="minor"/>
      </rPr>
      <t xml:space="preserve"> devem ser apresentadas no Perfil.</t>
    </r>
  </si>
  <si>
    <t>Dar exemplo recente de substituição de insumo importante por outro mais sustentável.</t>
  </si>
  <si>
    <r>
      <t xml:space="preserve">A qualificação de </t>
    </r>
    <r>
      <rPr>
        <b/>
        <i/>
        <sz val="11"/>
        <rFont val="Calibri"/>
        <family val="2"/>
        <scheme val="minor"/>
      </rPr>
      <t>fornecedores</t>
    </r>
    <r>
      <rPr>
        <b/>
        <sz val="11"/>
        <rFont val="Calibri"/>
        <family val="2"/>
        <scheme val="minor"/>
      </rPr>
      <t xml:space="preserve">, dos diferentes tipos, que estão aptos a fornecer, deve utilizar critérios de idoneidade, legalidade, </t>
    </r>
    <r>
      <rPr>
        <b/>
        <i/>
        <sz val="11"/>
        <rFont val="Calibri"/>
        <family val="2"/>
        <scheme val="minor"/>
      </rPr>
      <t>qualidade</t>
    </r>
    <r>
      <rPr>
        <b/>
        <sz val="11"/>
        <rFont val="Calibri"/>
        <family val="2"/>
        <scheme val="minor"/>
      </rPr>
      <t xml:space="preserve">, experiência, competitividade, segurança e saúde ocupacional de sua </t>
    </r>
    <r>
      <rPr>
        <b/>
        <i/>
        <sz val="11"/>
        <rFont val="Calibri"/>
        <family val="2"/>
        <scheme val="minor"/>
      </rPr>
      <t xml:space="preserve">força de </t>
    </r>
    <r>
      <rPr>
        <b/>
        <i/>
        <sz val="11"/>
        <color rgb="FF0070C0"/>
        <rFont val="Calibri"/>
        <family val="2"/>
        <scheme val="minor"/>
      </rPr>
      <t>trabalho</t>
    </r>
    <r>
      <rPr>
        <b/>
        <sz val="11"/>
        <color rgb="FF0070C0"/>
        <rFont val="Calibri"/>
        <family val="2"/>
        <scheme val="minor"/>
      </rPr>
      <t xml:space="preserve">. </t>
    </r>
  </si>
  <si>
    <r>
      <t xml:space="preserve">A seleção de </t>
    </r>
    <r>
      <rPr>
        <b/>
        <i/>
        <sz val="11"/>
        <rFont val="Calibri"/>
        <family val="2"/>
        <scheme val="minor"/>
      </rPr>
      <t>fornecedores</t>
    </r>
    <r>
      <rPr>
        <b/>
        <sz val="11"/>
        <rFont val="Calibri"/>
        <family val="2"/>
        <scheme val="minor"/>
      </rPr>
      <t xml:space="preserve"> mais adequados deve utilizar critérios de comprometimento com níveis de qualidade esperados, incluindo de ressarcimentos em razão de falhas.</t>
    </r>
  </si>
  <si>
    <r>
      <t xml:space="preserve">A qualificação de </t>
    </r>
    <r>
      <rPr>
        <b/>
        <i/>
        <sz val="11"/>
        <rFont val="Calibri"/>
        <family val="2"/>
        <scheme val="minor"/>
      </rPr>
      <t>fornecedores</t>
    </r>
    <r>
      <rPr>
        <b/>
        <sz val="11"/>
        <rFont val="Calibri"/>
        <family val="2"/>
        <scheme val="minor"/>
      </rPr>
      <t xml:space="preserve">, dos diferentes tipos, que estão aptos a fornecer, deve utilizar critério de comprometimento com o </t>
    </r>
    <r>
      <rPr>
        <b/>
        <i/>
        <sz val="11"/>
        <rFont val="Calibri"/>
        <family val="2"/>
        <scheme val="minor"/>
      </rPr>
      <t>desenvolvimento sustentável</t>
    </r>
    <r>
      <rPr>
        <b/>
        <sz val="11"/>
        <rFont val="Calibri"/>
        <family val="2"/>
        <scheme val="minor"/>
      </rPr>
      <t>.</t>
    </r>
  </si>
  <si>
    <r>
      <t xml:space="preserve">Os </t>
    </r>
    <r>
      <rPr>
        <b/>
        <i/>
        <sz val="11"/>
        <rFont val="Calibri"/>
        <family val="2"/>
        <scheme val="minor"/>
      </rPr>
      <t>fornecedores</t>
    </r>
    <r>
      <rPr>
        <b/>
        <sz val="11"/>
        <rFont val="Calibri"/>
        <family val="2"/>
        <scheme val="minor"/>
      </rPr>
      <t xml:space="preserve"> candidatos devem dispor de canal de acesso ágil para fornecer informações seletivas</t>
    </r>
    <r>
      <rPr>
        <b/>
        <sz val="11"/>
        <color rgb="FF0070C0"/>
        <rFont val="Calibri"/>
        <family val="2"/>
        <scheme val="minor"/>
      </rPr>
      <t>235</t>
    </r>
    <r>
      <rPr>
        <b/>
        <sz val="11"/>
        <rFont val="Calibri"/>
        <family val="2"/>
        <scheme val="minor"/>
      </rPr>
      <t xml:space="preserve"> e sobre seus </t>
    </r>
    <r>
      <rPr>
        <b/>
        <i/>
        <sz val="11"/>
        <rFont val="Calibri"/>
        <family val="2"/>
        <scheme val="minor"/>
      </rPr>
      <t>produtos</t>
    </r>
    <r>
      <rPr>
        <b/>
        <sz val="11"/>
        <rFont val="Calibri"/>
        <family val="2"/>
        <scheme val="minor"/>
      </rPr>
      <t xml:space="preserve"> e para receber respostas tempestivas.</t>
    </r>
  </si>
  <si>
    <r>
      <t xml:space="preserve">A seleção de </t>
    </r>
    <r>
      <rPr>
        <b/>
        <i/>
        <sz val="11"/>
        <rFont val="Calibri"/>
        <family val="2"/>
        <scheme val="minor"/>
      </rPr>
      <t>fornecedores</t>
    </r>
    <r>
      <rPr>
        <b/>
        <sz val="11"/>
        <rFont val="Calibri"/>
        <family val="2"/>
        <scheme val="minor"/>
      </rPr>
      <t xml:space="preserve"> mais adequados deve utilizar critério de comprometimento com performance que influencia na forma de pagamento pelo fornecimento. </t>
    </r>
  </si>
  <si>
    <r>
      <t xml:space="preserve">As necessidades, expectativas e predisposições dos </t>
    </r>
    <r>
      <rPr>
        <b/>
        <i/>
        <sz val="11"/>
        <rFont val="Calibri"/>
        <family val="2"/>
        <scheme val="minor"/>
      </rPr>
      <t>fornecedores</t>
    </r>
    <r>
      <rPr>
        <b/>
        <sz val="11"/>
        <rFont val="Calibri"/>
        <family val="2"/>
        <scheme val="minor"/>
      </rPr>
      <t xml:space="preserve"> devem ser identificadas na sua qualificação para verificação de compatibilidade com as da organização.</t>
    </r>
  </si>
  <si>
    <r>
      <t xml:space="preserve">A qualificação de </t>
    </r>
    <r>
      <rPr>
        <b/>
        <i/>
        <sz val="11"/>
        <color rgb="FF0070C0"/>
        <rFont val="Calibri"/>
        <family val="2"/>
        <scheme val="minor"/>
      </rPr>
      <t>fornecedores</t>
    </r>
    <r>
      <rPr>
        <b/>
        <sz val="11"/>
        <rFont val="Calibri"/>
        <family val="2"/>
        <scheme val="minor"/>
      </rPr>
      <t>, dos diferentes tipos, que estão aptos a fornecer, deve utilizar critérios de compensação competitiva</t>
    </r>
    <r>
      <rPr>
        <b/>
        <sz val="11"/>
        <color rgb="FF0070C0"/>
        <rFont val="Calibri"/>
        <family val="2"/>
        <scheme val="minor"/>
      </rPr>
      <t>236</t>
    </r>
    <r>
      <rPr>
        <b/>
        <sz val="11"/>
        <rFont val="Calibri"/>
        <family val="2"/>
        <scheme val="minor"/>
      </rPr>
      <t xml:space="preserve">, comprometimento com a inclusão social, igualdade de gênero e </t>
    </r>
    <r>
      <rPr>
        <b/>
        <i/>
        <sz val="11"/>
        <rFont val="Calibri"/>
        <family val="2"/>
        <scheme val="minor"/>
      </rPr>
      <t>ecoeficiência</t>
    </r>
    <r>
      <rPr>
        <b/>
        <sz val="11"/>
        <rFont val="Calibri"/>
        <family val="2"/>
        <scheme val="minor"/>
      </rPr>
      <t>.</t>
    </r>
  </si>
  <si>
    <r>
      <t>A qualificação ou seleção de</t>
    </r>
    <r>
      <rPr>
        <b/>
        <i/>
        <sz val="11"/>
        <rFont val="Calibri"/>
        <family val="2"/>
        <scheme val="minor"/>
      </rPr>
      <t xml:space="preserve"> fornecedores</t>
    </r>
    <r>
      <rPr>
        <b/>
        <sz val="11"/>
        <rFont val="Calibri"/>
        <family val="2"/>
        <scheme val="minor"/>
      </rPr>
      <t xml:space="preserve"> deve possuir mecanismos de prevenção da corrupção.</t>
    </r>
  </si>
  <si>
    <r>
      <t xml:space="preserve">O estabelecimento de parcerias com </t>
    </r>
    <r>
      <rPr>
        <b/>
        <i/>
        <sz val="11"/>
        <rFont val="Calibri"/>
        <family val="2"/>
        <scheme val="minor"/>
      </rPr>
      <t>fornecedores</t>
    </r>
    <r>
      <rPr>
        <b/>
        <sz val="11"/>
        <rFont val="Calibri"/>
        <family val="2"/>
        <scheme val="minor"/>
      </rPr>
      <t xml:space="preserve"> deve ser fundamentado em análise estratégica e de </t>
    </r>
    <r>
      <rPr>
        <b/>
        <i/>
        <sz val="11"/>
        <rFont val="Calibri"/>
        <family val="2"/>
        <scheme val="minor"/>
      </rPr>
      <t>riscos</t>
    </r>
    <r>
      <rPr>
        <b/>
        <sz val="11"/>
        <rFont val="Calibri"/>
        <family val="2"/>
        <scheme val="minor"/>
      </rPr>
      <t xml:space="preserve">. </t>
    </r>
  </si>
  <si>
    <r>
      <t xml:space="preserve">A qualificação de </t>
    </r>
    <r>
      <rPr>
        <b/>
        <i/>
        <sz val="11"/>
        <rFont val="Calibri"/>
        <family val="2"/>
        <scheme val="minor"/>
      </rPr>
      <t>fornecedores</t>
    </r>
    <r>
      <rPr>
        <b/>
        <sz val="11"/>
        <rFont val="Calibri"/>
        <family val="2"/>
        <scheme val="minor"/>
      </rPr>
      <t xml:space="preserve"> regulares deve incluir a verificação de aspectos de </t>
    </r>
    <r>
      <rPr>
        <b/>
        <i/>
        <sz val="11"/>
        <rFont val="Calibri"/>
        <family val="2"/>
        <scheme val="minor"/>
      </rPr>
      <t>governança</t>
    </r>
    <r>
      <rPr>
        <b/>
        <sz val="11"/>
        <rFont val="Calibri"/>
        <family val="2"/>
        <scheme val="minor"/>
      </rPr>
      <t xml:space="preserve"> e gestão de </t>
    </r>
    <r>
      <rPr>
        <b/>
        <i/>
        <sz val="11"/>
        <rFont val="Calibri"/>
        <family val="2"/>
        <scheme val="minor"/>
      </rPr>
      <t>riscos</t>
    </r>
    <r>
      <rPr>
        <b/>
        <sz val="11"/>
        <rFont val="Calibri"/>
        <family val="2"/>
        <scheme val="minor"/>
      </rPr>
      <t xml:space="preserve">, além de aspectos relativos à conduta ética, e de neutralização ou negativação de carbono. </t>
    </r>
  </si>
  <si>
    <r>
      <t xml:space="preserve">A qualificação profissional da </t>
    </r>
    <r>
      <rPr>
        <b/>
        <i/>
        <sz val="11"/>
        <rFont val="Calibri"/>
        <family val="2"/>
        <scheme val="minor"/>
      </rPr>
      <t>força de trabalho</t>
    </r>
    <r>
      <rPr>
        <b/>
        <sz val="11"/>
        <rFont val="Calibri"/>
        <family val="2"/>
        <scheme val="minor"/>
      </rPr>
      <t xml:space="preserve"> dos </t>
    </r>
    <r>
      <rPr>
        <b/>
        <i/>
        <sz val="11"/>
        <rFont val="Calibri"/>
        <family val="2"/>
        <scheme val="minor"/>
      </rPr>
      <t>fornecedores</t>
    </r>
    <r>
      <rPr>
        <b/>
        <sz val="11"/>
        <rFont val="Calibri"/>
        <family val="2"/>
        <scheme val="minor"/>
      </rPr>
      <t xml:space="preserve"> que atuam a serviço da organização executando atividades perigosas, pré-determinadas para cada tipo de fornecimento, deve ser verificada.</t>
    </r>
  </si>
  <si>
    <r>
      <t xml:space="preserve">O estabelecimento de parcerias com </t>
    </r>
    <r>
      <rPr>
        <b/>
        <i/>
        <sz val="11"/>
        <rFont val="Calibri"/>
        <family val="2"/>
        <scheme val="minor"/>
      </rPr>
      <t>fornecedores</t>
    </r>
    <r>
      <rPr>
        <b/>
        <sz val="11"/>
        <rFont val="Calibri"/>
        <family val="2"/>
        <scheme val="minor"/>
      </rPr>
      <t xml:space="preserve"> deve ser estimulado para desenvolvimento de inovações. </t>
    </r>
  </si>
  <si>
    <t>7.2c</t>
  </si>
  <si>
    <r>
      <t>c)  Monitoramento</t>
    </r>
    <r>
      <rPr>
        <b/>
        <sz val="10"/>
        <color rgb="FF0070C0"/>
        <rFont val="Calibri"/>
        <family val="2"/>
        <scheme val="minor"/>
      </rPr>
      <t>215</t>
    </r>
    <r>
      <rPr>
        <b/>
        <sz val="10"/>
        <rFont val="Calibri"/>
        <family val="2"/>
        <scheme val="minor"/>
      </rPr>
      <t xml:space="preserve"> do fornecimento</t>
    </r>
  </si>
  <si>
    <r>
      <t xml:space="preserve">Tem as finalidades de </t>
    </r>
    <r>
      <rPr>
        <b/>
        <u/>
        <sz val="10"/>
        <rFont val="Calibri"/>
        <family val="2"/>
        <scheme val="minor"/>
      </rPr>
      <t>assegurar</t>
    </r>
    <r>
      <rPr>
        <b/>
        <sz val="10"/>
        <rFont val="Calibri"/>
        <family val="2"/>
        <scheme val="minor"/>
      </rPr>
      <t xml:space="preserve"> a qualidade</t>
    </r>
    <r>
      <rPr>
        <b/>
        <sz val="10"/>
        <color rgb="FF0070C0"/>
        <rFont val="Calibri"/>
        <family val="2"/>
        <scheme val="minor"/>
      </rPr>
      <t>238</t>
    </r>
    <r>
      <rPr>
        <b/>
        <sz val="10"/>
        <rFont val="Calibri"/>
        <family val="2"/>
        <scheme val="minor"/>
      </rPr>
      <t xml:space="preserve"> de matérias-primas, insumos, serviços ou informações recebidas dos diferentes tipos de fornecimento, em relação aos padrões esperados e previamente acordados e de </t>
    </r>
    <r>
      <rPr>
        <b/>
        <u/>
        <sz val="10"/>
        <rFont val="Calibri"/>
        <family val="2"/>
        <scheme val="minor"/>
      </rPr>
      <t>notificar</t>
    </r>
    <r>
      <rPr>
        <b/>
        <sz val="10"/>
        <rFont val="Calibri"/>
        <family val="2"/>
        <scheme val="minor"/>
      </rPr>
      <t xml:space="preserve"> não conformidades</t>
    </r>
    <r>
      <rPr>
        <b/>
        <sz val="10"/>
        <color rgb="FF0070C0"/>
        <rFont val="Calibri"/>
        <family val="2"/>
        <scheme val="minor"/>
      </rPr>
      <t>239</t>
    </r>
    <r>
      <rPr>
        <b/>
        <sz val="10"/>
        <rFont val="Calibri"/>
        <family val="2"/>
        <scheme val="minor"/>
      </rPr>
      <t xml:space="preserve">, solicitando ações corretivas e compromisso com melhorias. </t>
    </r>
  </si>
  <si>
    <r>
      <t xml:space="preserve">O monitoramento do fornecimento deve incluir métodos de verificação da conformidade e tempestividade dos recebimentos acordados com os  </t>
    </r>
    <r>
      <rPr>
        <b/>
        <i/>
        <sz val="11"/>
        <rFont val="Calibri"/>
        <family val="2"/>
        <scheme val="minor"/>
      </rPr>
      <t>fornecedores</t>
    </r>
    <r>
      <rPr>
        <b/>
        <sz val="11"/>
        <rFont val="Calibri"/>
        <family val="2"/>
        <scheme val="minor"/>
      </rPr>
      <t xml:space="preserve"> e criticidade para os processos da </t>
    </r>
    <r>
      <rPr>
        <b/>
        <i/>
        <sz val="11"/>
        <rFont val="Calibri"/>
        <family val="2"/>
        <scheme val="minor"/>
      </rPr>
      <t>cadeia de valor</t>
    </r>
    <r>
      <rPr>
        <b/>
        <sz val="11"/>
        <rFont val="Calibri"/>
        <family val="2"/>
        <scheme val="minor"/>
      </rPr>
      <t>.</t>
    </r>
  </si>
  <si>
    <r>
      <t xml:space="preserve">As eventuais não conformidades detectadas e solicitação de ações corretivas devem ser prontamente notificadas aos </t>
    </r>
    <r>
      <rPr>
        <b/>
        <i/>
        <sz val="11"/>
        <rFont val="Calibri"/>
        <family val="2"/>
        <scheme val="minor"/>
      </rPr>
      <t>fornecedores</t>
    </r>
    <r>
      <rPr>
        <b/>
        <sz val="11"/>
        <rFont val="Calibri"/>
        <family val="2"/>
        <scheme val="minor"/>
      </rPr>
      <t xml:space="preserve"> e acompanhadas.</t>
    </r>
  </si>
  <si>
    <r>
      <t xml:space="preserve">O monitoramento do fornecimento deve incluir a verificação das condições de trabalho, incluindo legais e de saúde e segurança ocupacional, da </t>
    </r>
    <r>
      <rPr>
        <b/>
        <i/>
        <sz val="11"/>
        <rFont val="Calibri"/>
        <family val="2"/>
        <scheme val="minor"/>
      </rPr>
      <t>força de trabalho</t>
    </r>
    <r>
      <rPr>
        <b/>
        <sz val="11"/>
        <rFont val="Calibri"/>
        <family val="2"/>
        <scheme val="minor"/>
      </rPr>
      <t xml:space="preserve"> dos </t>
    </r>
    <r>
      <rPr>
        <b/>
        <i/>
        <sz val="11"/>
        <rFont val="Calibri"/>
        <family val="2"/>
        <scheme val="minor"/>
      </rPr>
      <t>fornecedores</t>
    </r>
    <r>
      <rPr>
        <b/>
        <sz val="11"/>
        <rFont val="Calibri"/>
        <family val="2"/>
        <scheme val="minor"/>
      </rPr>
      <t xml:space="preserve"> que atuam a serviço</t>
    </r>
    <r>
      <rPr>
        <b/>
        <sz val="11"/>
        <color rgb="FF0070C0"/>
        <rFont val="Calibri"/>
        <family val="2"/>
        <scheme val="minor"/>
      </rPr>
      <t>240</t>
    </r>
    <r>
      <rPr>
        <b/>
        <sz val="11"/>
        <rFont val="Calibri"/>
        <family val="2"/>
        <scheme val="minor"/>
      </rPr>
      <t xml:space="preserve"> da organização.</t>
    </r>
  </si>
  <si>
    <r>
      <t xml:space="preserve">As principais metas de atendimento de requisitos de desempenho, relativas ao fornecimento, devem ser estabelecidas em contratos, acordos de nível de serviço com os </t>
    </r>
    <r>
      <rPr>
        <b/>
        <i/>
        <sz val="11"/>
        <rFont val="Calibri"/>
        <family val="2"/>
        <scheme val="minor"/>
      </rPr>
      <t>fornecedores</t>
    </r>
    <r>
      <rPr>
        <b/>
        <sz val="11"/>
        <rFont val="Calibri"/>
        <family val="2"/>
        <scheme val="minor"/>
      </rPr>
      <t xml:space="preserve">, por parâmetros regulatórios ou instrumentos equivalentes. </t>
    </r>
  </si>
  <si>
    <r>
      <t xml:space="preserve">Os impactos de eventuais não conformidades detectadas, incluindo os custos para a organização associados a elas, devem ser prontamente notificados aos </t>
    </r>
    <r>
      <rPr>
        <b/>
        <i/>
        <sz val="11"/>
        <rFont val="Calibri"/>
        <family val="2"/>
        <scheme val="minor"/>
      </rPr>
      <t>fornecedores</t>
    </r>
    <r>
      <rPr>
        <b/>
        <sz val="11"/>
        <rFont val="Calibri"/>
        <family val="2"/>
        <scheme val="minor"/>
      </rPr>
      <t>.</t>
    </r>
  </si>
  <si>
    <r>
      <t xml:space="preserve">O rigor do monitoramento do fornecimento deve ser proporcional à frequência de ocorrências de não conformidades pelo </t>
    </r>
    <r>
      <rPr>
        <b/>
        <i/>
        <sz val="11"/>
        <rFont val="Calibri"/>
        <family val="2"/>
        <scheme val="minor"/>
      </rPr>
      <t>fornecedor</t>
    </r>
    <r>
      <rPr>
        <b/>
        <sz val="11"/>
        <rFont val="Calibri"/>
        <family val="2"/>
        <scheme val="minor"/>
      </rPr>
      <t xml:space="preserve"> ou à existência de fatores de desempenho zero-erro.</t>
    </r>
  </si>
  <si>
    <t>7.2d</t>
  </si>
  <si>
    <t>d)  Avaliação do fornecimento</t>
  </si>
  <si>
    <r>
      <t xml:space="preserve">Visa a </t>
    </r>
    <r>
      <rPr>
        <b/>
        <u/>
        <sz val="11"/>
        <rFont val="Calibri"/>
        <family val="2"/>
        <scheme val="minor"/>
      </rPr>
      <t>requalificar</t>
    </r>
    <r>
      <rPr>
        <b/>
        <sz val="11"/>
        <rFont val="Calibri"/>
        <family val="2"/>
        <scheme val="minor"/>
      </rPr>
      <t xml:space="preserve"> </t>
    </r>
    <r>
      <rPr>
        <b/>
        <i/>
        <sz val="11"/>
        <rFont val="Calibri"/>
        <family val="2"/>
        <scheme val="minor"/>
      </rPr>
      <t xml:space="preserve">fornecedores </t>
    </r>
    <r>
      <rPr>
        <b/>
        <sz val="11"/>
        <rFont val="Calibri"/>
        <family val="2"/>
        <scheme val="minor"/>
      </rPr>
      <t xml:space="preserve">ou fontes de fornecimento e </t>
    </r>
    <r>
      <rPr>
        <b/>
        <u/>
        <sz val="11"/>
        <rFont val="Calibri"/>
        <family val="2"/>
        <scheme val="minor"/>
      </rPr>
      <t>estimular</t>
    </r>
    <r>
      <rPr>
        <b/>
        <sz val="11"/>
        <rFont val="Calibri"/>
        <family val="2"/>
        <scheme val="minor"/>
      </rPr>
      <t xml:space="preserve"> a melhoria de seus produtos e processos,  o seu </t>
    </r>
    <r>
      <rPr>
        <b/>
        <i/>
        <sz val="11"/>
        <rFont val="Calibri"/>
        <family val="2"/>
        <scheme val="minor"/>
      </rPr>
      <t>desenvolvimento sustentável</t>
    </r>
    <r>
      <rPr>
        <b/>
        <sz val="11"/>
        <rFont val="Calibri"/>
        <family val="2"/>
        <scheme val="minor"/>
      </rPr>
      <t xml:space="preserve"> e o aperfeiçoamento das políticas e padrões de fornecimento e de projeto de </t>
    </r>
    <r>
      <rPr>
        <b/>
        <i/>
        <sz val="11"/>
        <rFont val="Calibri"/>
        <family val="2"/>
        <scheme val="minor"/>
      </rPr>
      <t>produtos</t>
    </r>
    <r>
      <rPr>
        <b/>
        <sz val="11"/>
        <rFont val="Calibri"/>
        <family val="2"/>
        <scheme val="minor"/>
      </rPr>
      <t xml:space="preserve"> e processos da organização. </t>
    </r>
  </si>
  <si>
    <r>
      <t xml:space="preserve">O resultado da avaliação dos </t>
    </r>
    <r>
      <rPr>
        <b/>
        <i/>
        <sz val="11"/>
        <rFont val="Calibri"/>
        <family val="2"/>
        <scheme val="minor"/>
      </rPr>
      <t>fornecedores</t>
    </r>
    <r>
      <rPr>
        <b/>
        <sz val="11"/>
        <rFont val="Calibri"/>
        <family val="2"/>
        <scheme val="minor"/>
      </rPr>
      <t xml:space="preserve"> deve ser a eles informado, com indicação de oportunidades de melhoria aplicáveis.</t>
    </r>
  </si>
  <si>
    <r>
      <t xml:space="preserve">Os fornecedores devem ser informados de mudanças nas </t>
    </r>
    <r>
      <rPr>
        <b/>
        <i/>
        <sz val="11"/>
        <color rgb="FF0070C0"/>
        <rFont val="Calibri"/>
        <family val="2"/>
        <scheme val="minor"/>
      </rPr>
      <t>estratégias</t>
    </r>
    <r>
      <rPr>
        <b/>
        <sz val="11"/>
        <color rgb="FF0070C0"/>
        <rFont val="Calibri"/>
        <family val="2"/>
        <scheme val="minor"/>
      </rPr>
      <t xml:space="preserve"> que possam afetar o seu regime241 de fornecimento.  </t>
    </r>
  </si>
  <si>
    <r>
      <t xml:space="preserve">A </t>
    </r>
    <r>
      <rPr>
        <b/>
        <i/>
        <sz val="11"/>
        <rFont val="Calibri"/>
        <family val="2"/>
        <scheme val="minor"/>
      </rPr>
      <t>força de trabalho</t>
    </r>
    <r>
      <rPr>
        <b/>
        <sz val="11"/>
        <rFont val="Calibri"/>
        <family val="2"/>
        <scheme val="minor"/>
      </rPr>
      <t xml:space="preserve"> dos </t>
    </r>
    <r>
      <rPr>
        <b/>
        <i/>
        <sz val="11"/>
        <rFont val="Calibri"/>
        <family val="2"/>
        <scheme val="minor"/>
      </rPr>
      <t>fornecedores</t>
    </r>
    <r>
      <rPr>
        <b/>
        <sz val="11"/>
        <rFont val="Calibri"/>
        <family val="2"/>
        <scheme val="minor"/>
      </rPr>
      <t xml:space="preserve"> que atuam a serviço da organização deve ser engajada, comprovadamente, em procedimentos de proteção da saúde e segurança ocupacional e com as diretrizes a ela aplicável. </t>
    </r>
  </si>
  <si>
    <r>
      <t xml:space="preserve">A </t>
    </r>
    <r>
      <rPr>
        <b/>
        <i/>
        <sz val="11"/>
        <rFont val="Calibri"/>
        <family val="2"/>
        <scheme val="minor"/>
      </rPr>
      <t>força de trabalho</t>
    </r>
    <r>
      <rPr>
        <b/>
        <sz val="11"/>
        <rFont val="Calibri"/>
        <family val="2"/>
        <scheme val="minor"/>
      </rPr>
      <t xml:space="preserve"> dos </t>
    </r>
    <r>
      <rPr>
        <b/>
        <i/>
        <sz val="11"/>
        <rFont val="Calibri"/>
        <family val="2"/>
        <scheme val="minor"/>
      </rPr>
      <t>fornecedores</t>
    </r>
    <r>
      <rPr>
        <b/>
        <sz val="11"/>
        <rFont val="Calibri"/>
        <family val="2"/>
        <scheme val="minor"/>
      </rPr>
      <t xml:space="preserve"> que atua a serviço da organização deve ser engajada ativamente em princípios éticos, com direcionamento da respectiva liderança. </t>
    </r>
  </si>
  <si>
    <r>
      <t xml:space="preserve">A satisfação dos </t>
    </r>
    <r>
      <rPr>
        <b/>
        <i/>
        <sz val="11"/>
        <rFont val="Calibri"/>
        <family val="2"/>
        <scheme val="minor"/>
      </rPr>
      <t>fornecedores</t>
    </r>
    <r>
      <rPr>
        <b/>
        <sz val="11"/>
        <rFont val="Calibri"/>
        <family val="2"/>
        <scheme val="minor"/>
      </rPr>
      <t xml:space="preserve"> </t>
    </r>
    <r>
      <rPr>
        <b/>
        <sz val="11"/>
        <color rgb="FF0070C0"/>
        <rFont val="Calibri"/>
        <family val="2"/>
        <scheme val="minor"/>
      </rPr>
      <t>deve</t>
    </r>
    <r>
      <rPr>
        <b/>
        <sz val="11"/>
        <rFont val="Calibri"/>
        <family val="2"/>
        <scheme val="minor"/>
      </rPr>
      <t xml:space="preserve"> ser avaliada, acompanhada por meio de </t>
    </r>
    <r>
      <rPr>
        <b/>
        <i/>
        <sz val="11"/>
        <rFont val="Calibri"/>
        <family val="2"/>
        <scheme val="minor"/>
      </rPr>
      <t>indicador</t>
    </r>
    <r>
      <rPr>
        <b/>
        <sz val="11"/>
        <rFont val="Calibri"/>
        <family val="2"/>
        <scheme val="minor"/>
      </rPr>
      <t xml:space="preserve"> e considerada para melhoria das políticas e padrões de relacionamento e fornecimento.</t>
    </r>
  </si>
  <si>
    <r>
      <t xml:space="preserve">O desempenho do fornecimento pelos diferentes tipos de </t>
    </r>
    <r>
      <rPr>
        <b/>
        <i/>
        <sz val="11"/>
        <rFont val="Calibri"/>
        <family val="2"/>
        <scheme val="minor"/>
      </rPr>
      <t>fornecedores</t>
    </r>
    <r>
      <rPr>
        <b/>
        <sz val="11"/>
        <rFont val="Calibri"/>
        <family val="2"/>
        <scheme val="minor"/>
      </rPr>
      <t xml:space="preserve"> deve ser avaliado  por meio de </t>
    </r>
    <r>
      <rPr>
        <b/>
        <i/>
        <sz val="11"/>
        <rFont val="Calibri"/>
        <family val="2"/>
        <scheme val="minor"/>
      </rPr>
      <t>indicadores</t>
    </r>
    <r>
      <rPr>
        <b/>
        <sz val="11"/>
        <rFont val="Calibri"/>
        <family val="2"/>
        <scheme val="minor"/>
      </rPr>
      <t xml:space="preserve">. </t>
    </r>
  </si>
  <si>
    <r>
      <t xml:space="preserve">Para fornecedores cuja </t>
    </r>
    <r>
      <rPr>
        <b/>
        <i/>
        <sz val="11"/>
        <rFont val="Calibri"/>
        <family val="2"/>
        <scheme val="minor"/>
      </rPr>
      <t>força de trabalho</t>
    </r>
    <r>
      <rPr>
        <b/>
        <sz val="11"/>
        <rFont val="Calibri"/>
        <family val="2"/>
        <scheme val="minor"/>
      </rPr>
      <t xml:space="preserve"> atua a serviço</t>
    </r>
    <r>
      <rPr>
        <b/>
        <sz val="11"/>
        <color rgb="FF0070C0"/>
        <rFont val="Calibri"/>
        <family val="2"/>
        <scheme val="minor"/>
      </rPr>
      <t>242</t>
    </r>
    <r>
      <rPr>
        <b/>
        <sz val="11"/>
        <rFont val="Calibri"/>
        <family val="2"/>
        <scheme val="minor"/>
      </rPr>
      <t xml:space="preserve"> da organização, a saúde e segurança deve ser avaliada por meio de </t>
    </r>
    <r>
      <rPr>
        <b/>
        <i/>
        <sz val="11"/>
        <rFont val="Calibri"/>
        <family val="2"/>
        <scheme val="minor"/>
      </rPr>
      <t>indicadores</t>
    </r>
    <r>
      <rPr>
        <b/>
        <sz val="11"/>
        <rFont val="Calibri"/>
        <family val="2"/>
        <scheme val="minor"/>
      </rPr>
      <t>.</t>
    </r>
  </si>
  <si>
    <r>
      <t xml:space="preserve">A </t>
    </r>
    <r>
      <rPr>
        <b/>
        <i/>
        <sz val="11"/>
        <rFont val="Calibri"/>
        <family val="2"/>
        <scheme val="minor"/>
      </rPr>
      <t>força de trabalho</t>
    </r>
    <r>
      <rPr>
        <b/>
        <sz val="11"/>
        <rFont val="Calibri"/>
        <family val="2"/>
        <scheme val="minor"/>
      </rPr>
      <t xml:space="preserve"> de </t>
    </r>
    <r>
      <rPr>
        <b/>
        <i/>
        <sz val="11"/>
        <rFont val="Calibri"/>
        <family val="2"/>
        <scheme val="minor"/>
      </rPr>
      <t>fornecedores</t>
    </r>
    <r>
      <rPr>
        <b/>
        <sz val="11"/>
        <rFont val="Calibri"/>
        <family val="2"/>
        <scheme val="minor"/>
      </rPr>
      <t xml:space="preserve"> que atua a serviço da organização deve ser engajada ativamente com o </t>
    </r>
    <r>
      <rPr>
        <b/>
        <i/>
        <sz val="11"/>
        <rFont val="Calibri"/>
        <family val="2"/>
        <scheme val="minor"/>
      </rPr>
      <t>desenvolvimento sustentável</t>
    </r>
    <r>
      <rPr>
        <b/>
        <sz val="11"/>
        <rFont val="Calibri"/>
        <family val="2"/>
        <scheme val="minor"/>
      </rPr>
      <t xml:space="preserve">. </t>
    </r>
  </si>
  <si>
    <r>
      <t>Os</t>
    </r>
    <r>
      <rPr>
        <b/>
        <i/>
        <sz val="11"/>
        <rFont val="Calibri"/>
        <family val="2"/>
        <scheme val="minor"/>
      </rPr>
      <t xml:space="preserve"> fornecedores</t>
    </r>
    <r>
      <rPr>
        <b/>
        <sz val="11"/>
        <rFont val="Calibri"/>
        <family val="2"/>
        <scheme val="minor"/>
      </rPr>
      <t xml:space="preserve"> devem ser estimulados a buscar melhorias e inovações para aumentar a </t>
    </r>
    <r>
      <rPr>
        <b/>
        <i/>
        <sz val="11"/>
        <rFont val="Calibri"/>
        <family val="2"/>
        <scheme val="minor"/>
      </rPr>
      <t>ecoeficiência</t>
    </r>
    <r>
      <rPr>
        <b/>
        <sz val="11"/>
        <rFont val="Calibri"/>
        <family val="2"/>
        <scheme val="minor"/>
      </rPr>
      <t xml:space="preserve"> e reduzir custos de seus </t>
    </r>
    <r>
      <rPr>
        <b/>
        <i/>
        <sz val="11"/>
        <rFont val="Calibri"/>
        <family val="2"/>
        <scheme val="minor"/>
      </rPr>
      <t>produtos</t>
    </r>
    <r>
      <rPr>
        <b/>
        <sz val="11"/>
        <rFont val="Calibri"/>
        <family val="2"/>
        <scheme val="minor"/>
      </rPr>
      <t xml:space="preserve"> e processos.</t>
    </r>
  </si>
  <si>
    <t>7.3</t>
  </si>
  <si>
    <r>
      <t>7.3 Processos econômico-financeiros</t>
    </r>
    <r>
      <rPr>
        <b/>
        <sz val="10"/>
        <color rgb="FF0070C0"/>
        <rFont val="Calibri"/>
        <family val="2"/>
        <scheme val="minor"/>
      </rPr>
      <t>219</t>
    </r>
  </si>
  <si>
    <t>7.3a</t>
  </si>
  <si>
    <r>
      <t>a)  Síntese</t>
    </r>
    <r>
      <rPr>
        <b/>
        <sz val="10"/>
        <color rgb="FF0070C0"/>
        <rFont val="Calibri"/>
        <family val="2"/>
        <scheme val="minor"/>
      </rPr>
      <t>220</t>
    </r>
    <r>
      <rPr>
        <b/>
        <sz val="10"/>
        <rFont val="Calibri"/>
        <family val="2"/>
        <scheme val="minor"/>
      </rPr>
      <t xml:space="preserve"> de fatores de desempenho econômico-financeiro</t>
    </r>
  </si>
  <si>
    <r>
      <t xml:space="preserve">Tem a finalidade de </t>
    </r>
    <r>
      <rPr>
        <b/>
        <u/>
        <sz val="10"/>
        <rFont val="Calibri"/>
        <family val="2"/>
        <scheme val="minor"/>
      </rPr>
      <t>estabelecer</t>
    </r>
    <r>
      <rPr>
        <b/>
        <sz val="10"/>
        <rFont val="Calibri"/>
        <family val="2"/>
        <scheme val="minor"/>
      </rPr>
      <t xml:space="preserve"> os fatores de desempenho mais importantes, internos e externos, que causam impacto adverso ou favorável na sustentabilidade econômica e financeira do negócio, a partir de requisitos de proprietários, mantenedores ou instituidores, outras partes interessadas e áreas internas, incluindo desdobrados de estratégias de </t>
    </r>
    <r>
      <rPr>
        <b/>
        <i/>
        <sz val="10"/>
        <rFont val="Calibri"/>
        <family val="2"/>
        <scheme val="minor"/>
      </rPr>
      <t>desenvolvimento sustentável</t>
    </r>
    <r>
      <rPr>
        <b/>
        <sz val="10"/>
        <rFont val="Calibri"/>
        <family val="2"/>
        <scheme val="minor"/>
      </rPr>
      <t>.</t>
    </r>
  </si>
  <si>
    <r>
      <t>Informar os fatores de desempenho econômico-financeiros</t>
    </r>
    <r>
      <rPr>
        <b/>
        <sz val="11"/>
        <color rgb="FF0070C0"/>
        <rFont val="Calibri"/>
        <family val="2"/>
        <scheme val="minor"/>
      </rPr>
      <t>245</t>
    </r>
    <r>
      <rPr>
        <b/>
        <sz val="11"/>
        <rFont val="Calibri"/>
        <family val="2"/>
        <scheme val="minor"/>
      </rPr>
      <t xml:space="preserve"> mais importantes. Os principais </t>
    </r>
    <r>
      <rPr>
        <b/>
        <i/>
        <sz val="11"/>
        <rFont val="Calibri"/>
        <family val="2"/>
        <scheme val="minor"/>
      </rPr>
      <t xml:space="preserve">indicadores </t>
    </r>
    <r>
      <rPr>
        <b/>
        <sz val="11"/>
        <rFont val="Calibri"/>
        <family val="2"/>
        <scheme val="minor"/>
      </rPr>
      <t>econômico-financeiros com seus resultados devem ser informados no Critério 8.</t>
    </r>
  </si>
  <si>
    <r>
      <t xml:space="preserve">Os </t>
    </r>
    <r>
      <rPr>
        <b/>
        <i/>
        <sz val="11"/>
        <rFont val="Calibri"/>
        <family val="2"/>
        <scheme val="minor"/>
      </rPr>
      <t>administradores</t>
    </r>
    <r>
      <rPr>
        <b/>
        <sz val="11"/>
        <rFont val="Calibri"/>
        <family val="2"/>
        <scheme val="minor"/>
      </rPr>
      <t xml:space="preserve"> devem participar da definição de políticas e de revisão das metas de desempenho econômico-financeiro.</t>
    </r>
  </si>
  <si>
    <t>Os fatores de desempenho mais importantes devem abranger a otimização dos custos das diversas operações e as responsabilidades pelo seu controle devem estar formalmente atribuídas.</t>
  </si>
  <si>
    <r>
      <t xml:space="preserve">A precificação ou tarifação de </t>
    </r>
    <r>
      <rPr>
        <b/>
        <i/>
        <sz val="11"/>
        <rFont val="Calibri"/>
        <family val="2"/>
        <scheme val="minor"/>
      </rPr>
      <t>produtos</t>
    </r>
    <r>
      <rPr>
        <b/>
        <sz val="11"/>
        <rFont val="Calibri"/>
        <family val="2"/>
        <scheme val="minor"/>
      </rPr>
      <t xml:space="preserve"> deve se submeter a políticas comerciais aprovadas pelos </t>
    </r>
    <r>
      <rPr>
        <b/>
        <i/>
        <sz val="11"/>
        <rFont val="Calibri"/>
        <family val="2"/>
        <scheme val="minor"/>
      </rPr>
      <t>administradores</t>
    </r>
    <r>
      <rPr>
        <b/>
        <sz val="11"/>
        <rFont val="Calibri"/>
        <family val="2"/>
        <scheme val="minor"/>
      </rPr>
      <t xml:space="preserve"> e de órgãos reguladores, quando aplicável, e incluir análise de impactos para a organização e para o consumo responsável pelos </t>
    </r>
    <r>
      <rPr>
        <b/>
        <i/>
        <sz val="11"/>
        <rFont val="Calibri"/>
        <family val="2"/>
        <scheme val="minor"/>
      </rPr>
      <t>clientes</t>
    </r>
    <r>
      <rPr>
        <b/>
        <sz val="11"/>
        <rFont val="Calibri"/>
        <family val="2"/>
        <scheme val="minor"/>
      </rPr>
      <t>.</t>
    </r>
  </si>
  <si>
    <r>
      <t xml:space="preserve">A concessão de créditos e as aplicações financeiras devem se submeter a políticas estabelecidas que reduzam o </t>
    </r>
    <r>
      <rPr>
        <b/>
        <i/>
        <sz val="11"/>
        <rFont val="Calibri"/>
        <family val="2"/>
        <scheme val="minor"/>
      </rPr>
      <t>risco</t>
    </r>
    <r>
      <rPr>
        <b/>
        <sz val="11"/>
        <rFont val="Calibri"/>
        <family val="2"/>
        <scheme val="minor"/>
      </rPr>
      <t xml:space="preserve">. </t>
    </r>
  </si>
  <si>
    <r>
      <t xml:space="preserve">O planejamento dos custos do ciclo de vida dos </t>
    </r>
    <r>
      <rPr>
        <b/>
        <i/>
        <sz val="11"/>
        <rFont val="Calibri"/>
        <family val="2"/>
        <scheme val="minor"/>
      </rPr>
      <t>ativos de infraestrutura operacional</t>
    </r>
    <r>
      <rPr>
        <b/>
        <sz val="11"/>
        <rFont val="Calibri"/>
        <family val="2"/>
        <scheme val="minor"/>
      </rPr>
      <t xml:space="preserve"> devem ser estabelecidos considerando os fatores do ambiente e requisitos das </t>
    </r>
    <r>
      <rPr>
        <b/>
        <i/>
        <sz val="11"/>
        <rFont val="Calibri"/>
        <family val="2"/>
        <scheme val="minor"/>
      </rPr>
      <t>partes interessadas</t>
    </r>
    <r>
      <rPr>
        <b/>
        <sz val="11"/>
        <rFont val="Calibri"/>
        <family val="2"/>
        <scheme val="minor"/>
      </rPr>
      <t>.</t>
    </r>
  </si>
  <si>
    <r>
      <t>O planejamento tributário deve ser otimizado considerando prazos de recolhimento de taxas e tributos, a c</t>
    </r>
    <r>
      <rPr>
        <b/>
        <i/>
        <sz val="11"/>
        <rFont val="Calibri"/>
        <family val="2"/>
        <scheme val="minor"/>
      </rPr>
      <t>adeia de valor</t>
    </r>
    <r>
      <rPr>
        <b/>
        <sz val="11"/>
        <rFont val="Calibri"/>
        <family val="2"/>
        <scheme val="minor"/>
      </rPr>
      <t xml:space="preserve"> e de suprimento, aspectos geográficos, incentivos e outros.</t>
    </r>
  </si>
  <si>
    <t>7.3b</t>
  </si>
  <si>
    <t>b) Projeção orçamentária</t>
  </si>
  <si>
    <r>
      <t xml:space="preserve">Tem os objetivos de </t>
    </r>
    <r>
      <rPr>
        <b/>
        <u/>
        <sz val="10"/>
        <rFont val="Calibri"/>
        <family val="2"/>
        <scheme val="minor"/>
      </rPr>
      <t>projetar</t>
    </r>
    <r>
      <rPr>
        <b/>
        <sz val="10"/>
        <rFont val="Calibri"/>
        <family val="2"/>
        <scheme val="minor"/>
      </rPr>
      <t xml:space="preserve"> o desempenho econômico-financeiro, integrado e dinâmico, </t>
    </r>
    <r>
      <rPr>
        <b/>
        <u/>
        <sz val="10"/>
        <rFont val="Calibri"/>
        <family val="2"/>
        <scheme val="minor"/>
      </rPr>
      <t>compatibilizar</t>
    </r>
    <r>
      <rPr>
        <b/>
        <sz val="10"/>
        <rFont val="Calibri"/>
        <family val="2"/>
        <scheme val="minor"/>
      </rPr>
      <t xml:space="preserve"> as contas com a estrutura de responsabilidade por processos, </t>
    </r>
    <r>
      <rPr>
        <b/>
        <u/>
        <sz val="10"/>
        <rFont val="Calibri"/>
        <family val="2"/>
        <scheme val="minor"/>
      </rPr>
      <t>comprometer</t>
    </r>
    <r>
      <rPr>
        <b/>
        <sz val="10"/>
        <rFont val="Calibri"/>
        <family val="2"/>
        <scheme val="minor"/>
      </rPr>
      <t xml:space="preserve"> os responsáveis com metas</t>
    </r>
    <r>
      <rPr>
        <b/>
        <sz val="10"/>
        <color rgb="FF0070C0"/>
        <rFont val="Calibri"/>
        <family val="2"/>
        <scheme val="minor"/>
      </rPr>
      <t>246</t>
    </r>
    <r>
      <rPr>
        <b/>
        <sz val="10"/>
        <rFont val="Calibri"/>
        <family val="2"/>
        <scheme val="minor"/>
      </rPr>
      <t xml:space="preserve"> e seu controle, </t>
    </r>
    <r>
      <rPr>
        <b/>
        <u/>
        <sz val="10"/>
        <rFont val="Calibri"/>
        <family val="2"/>
        <scheme val="minor"/>
      </rPr>
      <t>buscar assegurar</t>
    </r>
    <r>
      <rPr>
        <b/>
        <sz val="10"/>
        <rFont val="Calibri"/>
        <family val="2"/>
        <scheme val="minor"/>
      </rPr>
      <t xml:space="preserve"> uma contabilização gerencial precisa e tempestiva, </t>
    </r>
    <r>
      <rPr>
        <b/>
        <u/>
        <sz val="10"/>
        <rFont val="Calibri"/>
        <family val="2"/>
        <scheme val="minor"/>
      </rPr>
      <t>possibilitar</t>
    </r>
    <r>
      <rPr>
        <b/>
        <sz val="10"/>
        <rFont val="Calibri"/>
        <family val="2"/>
        <scheme val="minor"/>
      </rPr>
      <t xml:space="preserve"> identificação e emissão de alertas de desvios e </t>
    </r>
    <r>
      <rPr>
        <b/>
        <u/>
        <sz val="10"/>
        <rFont val="Calibri"/>
        <family val="2"/>
        <scheme val="minor"/>
      </rPr>
      <t xml:space="preserve">definir </t>
    </r>
    <r>
      <rPr>
        <b/>
        <sz val="10"/>
        <rFont val="Calibri"/>
        <family val="2"/>
        <scheme val="minor"/>
      </rPr>
      <t>prioridades para melhoria do desempenho.</t>
    </r>
  </si>
  <si>
    <r>
      <t xml:space="preserve">Os </t>
    </r>
    <r>
      <rPr>
        <b/>
        <i/>
        <sz val="11"/>
        <rFont val="Calibri"/>
        <family val="2"/>
        <scheme val="minor"/>
      </rPr>
      <t>administradores</t>
    </r>
    <r>
      <rPr>
        <b/>
        <sz val="11"/>
        <rFont val="Calibri"/>
        <family val="2"/>
        <scheme val="minor"/>
      </rPr>
      <t xml:space="preserve"> devem participar da aprovação da peça orçamentária e do monitoramento do desempenho econômico-financeiro com o objetivo de pactuá-los e acompanhá-los com transparência.</t>
    </r>
  </si>
  <si>
    <r>
      <t xml:space="preserve">O desempenho da peça orçamentária deve ser acompanhado por meio de </t>
    </r>
    <r>
      <rPr>
        <b/>
        <i/>
        <sz val="11"/>
        <rFont val="Calibri"/>
        <family val="2"/>
        <scheme val="minor"/>
      </rPr>
      <t>indicador</t>
    </r>
    <r>
      <rPr>
        <b/>
        <sz val="11"/>
        <rFont val="Calibri"/>
        <family val="2"/>
        <scheme val="minor"/>
      </rPr>
      <t>.</t>
    </r>
  </si>
  <si>
    <t>As ações corretivas, preventivas e as oportunidades, decorrentes do controle orçamentário e da análise de performance, devem ser registradas e acompanhadas.</t>
  </si>
  <si>
    <r>
      <t xml:space="preserve">A elaboração e ajustes do orçamento devem ser participativos para aumentar o comprometimento e a assertividade e avaliar </t>
    </r>
    <r>
      <rPr>
        <b/>
        <i/>
        <sz val="11"/>
        <rFont val="Calibri"/>
        <family val="2"/>
        <scheme val="minor"/>
      </rPr>
      <t>externalidades</t>
    </r>
    <r>
      <rPr>
        <b/>
        <sz val="11"/>
        <rFont val="Calibri"/>
        <family val="2"/>
        <scheme val="minor"/>
      </rPr>
      <t>.</t>
    </r>
  </si>
  <si>
    <r>
      <t>Os prazos fiscais</t>
    </r>
    <r>
      <rPr>
        <b/>
        <sz val="11"/>
        <color rgb="FF0070C0"/>
        <rFont val="Calibri"/>
        <family val="2"/>
        <scheme val="minor"/>
      </rPr>
      <t>247</t>
    </r>
    <r>
      <rPr>
        <b/>
        <sz val="11"/>
        <rFont val="Calibri"/>
        <family val="2"/>
        <scheme val="minor"/>
      </rPr>
      <t xml:space="preserve"> devem ser monitorados para evitar custos com multas e sanções pelo seu descumprimento.</t>
    </r>
  </si>
  <si>
    <r>
      <t xml:space="preserve">As projeções de performance devem ser dinâmicas para possibilitar a antecipação de medidas de ajuste necessárias para buscar assegurar o cumprimento de compromissos com as </t>
    </r>
    <r>
      <rPr>
        <b/>
        <i/>
        <sz val="11"/>
        <rFont val="Calibri"/>
        <family val="2"/>
        <scheme val="minor"/>
      </rPr>
      <t>partes interessadas</t>
    </r>
    <r>
      <rPr>
        <b/>
        <sz val="11"/>
        <rFont val="Calibri"/>
        <family val="2"/>
        <scheme val="minor"/>
      </rPr>
      <t xml:space="preserve"> e a otimização de resultados. </t>
    </r>
  </si>
  <si>
    <t>Os gestores devem receber alertas antecipados a respeito de anomalias potenciais, incluindo de contabilização, dos resultados sob sua responsabilidade.</t>
  </si>
  <si>
    <t>7.3c</t>
  </si>
  <si>
    <t xml:space="preserve">c) Qualificação de investimentos </t>
  </si>
  <si>
    <r>
      <t xml:space="preserve">Tem as finalidades de </t>
    </r>
    <r>
      <rPr>
        <b/>
        <u/>
        <sz val="11"/>
        <rFont val="Calibri"/>
        <family val="2"/>
        <scheme val="minor"/>
      </rPr>
      <t>avaliar</t>
    </r>
    <r>
      <rPr>
        <b/>
        <sz val="11"/>
        <rFont val="Calibri"/>
        <family val="2"/>
        <scheme val="minor"/>
      </rPr>
      <t xml:space="preserve"> a viabilidade e retorno potencial dos investimentos, necessários para implementação das </t>
    </r>
    <r>
      <rPr>
        <b/>
        <i/>
        <sz val="11"/>
        <rFont val="Calibri"/>
        <family val="2"/>
        <scheme val="minor"/>
      </rPr>
      <t>estratégias</t>
    </r>
    <r>
      <rPr>
        <b/>
        <sz val="11"/>
        <rFont val="Calibri"/>
        <family val="2"/>
        <scheme val="minor"/>
      </rPr>
      <t xml:space="preserve">, para os resultados da organização, </t>
    </r>
    <r>
      <rPr>
        <b/>
        <u/>
        <sz val="11"/>
        <rFont val="Calibri"/>
        <family val="2"/>
        <scheme val="minor"/>
      </rPr>
      <t>definir</t>
    </r>
    <r>
      <rPr>
        <b/>
        <sz val="11"/>
        <rFont val="Calibri"/>
        <family val="2"/>
        <scheme val="minor"/>
      </rPr>
      <t xml:space="preserve"> as fontes de recursos ideais e </t>
    </r>
    <r>
      <rPr>
        <b/>
        <u/>
        <sz val="11"/>
        <rFont val="Calibri"/>
        <family val="2"/>
        <scheme val="minor"/>
      </rPr>
      <t>analisar</t>
    </r>
    <r>
      <rPr>
        <b/>
        <sz val="11"/>
        <rFont val="Calibri"/>
        <family val="2"/>
        <scheme val="minor"/>
      </rPr>
      <t xml:space="preserve"> o progresso e o retorno real dos investimentos realizados. </t>
    </r>
  </si>
  <si>
    <t>Citar o principal investimento em andamento e a fonte de recurso.</t>
  </si>
  <si>
    <r>
      <t xml:space="preserve">Os </t>
    </r>
    <r>
      <rPr>
        <b/>
        <i/>
        <sz val="11"/>
        <rFont val="Calibri"/>
        <family val="2"/>
        <scheme val="minor"/>
      </rPr>
      <t>administradores</t>
    </r>
    <r>
      <rPr>
        <b/>
        <sz val="11"/>
        <rFont val="Calibri"/>
        <family val="2"/>
        <scheme val="minor"/>
      </rPr>
      <t xml:space="preserve"> devem participar da aprovação dos investimentos.</t>
    </r>
  </si>
  <si>
    <t>A viabilidade dos investimentos deve ser estudada de forma participativa e com base em estudos que considerem retornos econômicos e socioambientais.</t>
  </si>
  <si>
    <t>O controle do orçamento de investimentos deve ser utilizado para avaliar o progresso dos projetos.</t>
  </si>
  <si>
    <t>A competitividade de alternativas de fontes de recursos para investimentos deve ser acompanhada.</t>
  </si>
  <si>
    <r>
      <t xml:space="preserve">O retorno real dos principais investimentos realizados deve ser acompanhado, considerando benefícios previstos nos respectivos estudos de viabilidade, e demonstrado para os </t>
    </r>
    <r>
      <rPr>
        <b/>
        <i/>
        <sz val="11"/>
        <rFont val="Calibri"/>
        <family val="2"/>
        <scheme val="minor"/>
      </rPr>
      <t>administradores</t>
    </r>
    <r>
      <rPr>
        <b/>
        <sz val="11"/>
        <rFont val="Calibri"/>
        <family val="2"/>
        <scheme val="minor"/>
      </rPr>
      <t>.</t>
    </r>
  </si>
  <si>
    <t>As lições aprendidas, favoráveis e desfavoráveis, relativas a investimentos realizados devem ser registradas e compartilhadas.</t>
  </si>
  <si>
    <r>
      <t xml:space="preserve">O desempenho da realização integrada dos investimentos deve ser avaliado por meio de </t>
    </r>
    <r>
      <rPr>
        <b/>
        <i/>
        <sz val="11"/>
        <rFont val="Calibri"/>
        <family val="2"/>
        <scheme val="minor"/>
      </rPr>
      <t>indicador</t>
    </r>
    <r>
      <rPr>
        <b/>
        <sz val="11"/>
        <rFont val="Calibri"/>
        <family val="2"/>
        <scheme val="minor"/>
      </rPr>
      <t>.</t>
    </r>
  </si>
  <si>
    <t>7.3d</t>
  </si>
  <si>
    <t>d) Equilíbrio do fluxo financeiro</t>
  </si>
  <si>
    <r>
      <t xml:space="preserve">Tem por objetivo </t>
    </r>
    <r>
      <rPr>
        <b/>
        <u/>
        <sz val="10"/>
        <rFont val="Calibri"/>
        <family val="2"/>
        <scheme val="minor"/>
      </rPr>
      <t>assegurar</t>
    </r>
    <r>
      <rPr>
        <b/>
        <sz val="10"/>
        <rFont val="Calibri"/>
        <family val="2"/>
        <scheme val="minor"/>
      </rPr>
      <t xml:space="preserve"> a disponibilidade de recursos financeiros para operacionalização das atividades da organização, com previsibilidade, otimizando critérios e seleção tempestiva de fontes de captação de capital de giro, de tomada de riscos financeiros, de políticas comerciais, de aplicações de caixa e de administração de créditos e recebimentos, em sincronia com as necessidades.</t>
    </r>
  </si>
  <si>
    <r>
      <t xml:space="preserve">A política de captação de recursos deve ser aprovada pelos </t>
    </r>
    <r>
      <rPr>
        <b/>
        <i/>
        <sz val="11"/>
        <rFont val="Calibri"/>
        <family val="2"/>
        <scheme val="minor"/>
      </rPr>
      <t>administradores</t>
    </r>
    <r>
      <rPr>
        <b/>
        <sz val="11"/>
        <rFont val="Calibri"/>
        <family val="2"/>
        <scheme val="minor"/>
      </rPr>
      <t xml:space="preserve">. </t>
    </r>
  </si>
  <si>
    <t xml:space="preserve">Os impactos potenciais de mudanças na política comercial ou de gratuidades no equilíbrio do fluxo financeiro devem ser analisados antes de sua efetivação. </t>
  </si>
  <si>
    <t>A projeção de liquidez deve ser dinâmica e monitorada para possibilitar a antecipação de decisões referentes à fonte de recursos financeiros.</t>
  </si>
  <si>
    <r>
      <t>A política de concessão de créditos</t>
    </r>
    <r>
      <rPr>
        <b/>
        <sz val="11"/>
        <color rgb="FF0070C0"/>
        <rFont val="Calibri"/>
        <family val="2"/>
        <scheme val="minor"/>
      </rPr>
      <t>248</t>
    </r>
    <r>
      <rPr>
        <b/>
        <sz val="11"/>
        <rFont val="Calibri"/>
        <family val="2"/>
        <scheme val="minor"/>
      </rPr>
      <t xml:space="preserve"> deve envolver análise de </t>
    </r>
    <r>
      <rPr>
        <b/>
        <i/>
        <sz val="11"/>
        <rFont val="Calibri"/>
        <family val="2"/>
        <scheme val="minor"/>
      </rPr>
      <t>riscos</t>
    </r>
    <r>
      <rPr>
        <b/>
        <sz val="11"/>
        <rFont val="Calibri"/>
        <family val="2"/>
        <scheme val="minor"/>
      </rPr>
      <t xml:space="preserve"> sobre a parte tomadora com base em informações confiáveis.</t>
    </r>
  </si>
  <si>
    <t>O controle e conciliação de recebíveis devem prevenir a inadimplência e a evasão de receitas.</t>
  </si>
  <si>
    <r>
      <t xml:space="preserve">As políticas de concessão de créditos, captação de recursos e comercial devem incluir critérios que favoreçam o </t>
    </r>
    <r>
      <rPr>
        <b/>
        <i/>
        <sz val="11"/>
        <rFont val="Calibri"/>
        <family val="2"/>
        <scheme val="minor"/>
      </rPr>
      <t>desenvolvimento sustentável</t>
    </r>
    <r>
      <rPr>
        <b/>
        <sz val="11"/>
        <rFont val="Calibri"/>
        <family val="2"/>
        <scheme val="minor"/>
      </rPr>
      <t>.</t>
    </r>
  </si>
  <si>
    <t>Item 8.1 - RESULTADOS Econômico-financeiros</t>
  </si>
  <si>
    <t>Evolução</t>
  </si>
  <si>
    <t>Competitividade</t>
  </si>
  <si>
    <t>Compromisso</t>
  </si>
  <si>
    <t>Potencial</t>
  </si>
  <si>
    <t>Dados opcionais</t>
  </si>
  <si>
    <t>Livre</t>
  </si>
  <si>
    <t>Respons.</t>
  </si>
  <si>
    <t>Nome do Indicador de desempenho</t>
  </si>
  <si>
    <t>Tipo N,E,O,G</t>
  </si>
  <si>
    <t>Permite avaliar evolução? 
S ou N</t>
  </si>
  <si>
    <t>GRAU
 EVOLUÇÃO</t>
  </si>
  <si>
    <t>Result. é comparável? 
S ou N</t>
  </si>
  <si>
    <t>GRAU COMPETITIVO</t>
  </si>
  <si>
    <t>Nome do Referencial Comparativo</t>
  </si>
  <si>
    <t>É Líder.?
S, N ou NS</t>
  </si>
  <si>
    <t>É Ref. Exc?
S, N ou NS</t>
  </si>
  <si>
    <t xml:space="preserve">Expressou Comprom.?
S, N </t>
  </si>
  <si>
    <t>GRAU COMPROMISSO</t>
  </si>
  <si>
    <t xml:space="preserve">Requisito relativo à 
qual PI?
</t>
  </si>
  <si>
    <t>Era esperada Meta (MT) ou Evolução Fav (EF)?</t>
  </si>
  <si>
    <t>Qual o docum de origem do comprom.?</t>
  </si>
  <si>
    <t>GRAU POTENCIAL</t>
  </si>
  <si>
    <t>Nome do estudo que justifica o potencial?</t>
  </si>
  <si>
    <t>%</t>
  </si>
  <si>
    <t>Sentido</t>
  </si>
  <si>
    <t>Ano-2</t>
  </si>
  <si>
    <t>Ano-1</t>
  </si>
  <si>
    <t>RC</t>
  </si>
  <si>
    <t>RPI</t>
  </si>
  <si>
    <t>Observações</t>
  </si>
  <si>
    <t>ITEM ASSOCIADO</t>
  </si>
  <si>
    <t>Pontos possíveis</t>
  </si>
  <si>
    <t>Totais-&gt;</t>
  </si>
  <si>
    <t>%Result. Estratégico-&gt;</t>
  </si>
  <si>
    <t>%Item</t>
  </si>
  <si>
    <t>%Result. Operacional-&gt;</t>
  </si>
  <si>
    <t>Pontos alcançados</t>
  </si>
  <si>
    <t>Comentários opcionais</t>
  </si>
  <si>
    <t>Item 8.2 - RESULTADOS Ambientais</t>
  </si>
  <si>
    <t>Item 8.3 - RESULTADOS Sociais</t>
  </si>
  <si>
    <t>Item 8.4 - RESULTADOS de Clientes e mercado</t>
  </si>
  <si>
    <t>Item 8.5 - RESULTADOS de Pessoas</t>
  </si>
  <si>
    <t>Item 8.6 - RESULTADOS de Processos</t>
  </si>
  <si>
    <t>Quadro por Fator</t>
  </si>
  <si>
    <t>Quadro de Notas Percentuais dos Fatores por Grau conforme o Nível (Sistema de Pontuação)</t>
  </si>
  <si>
    <t>Quadro Geral por Critério</t>
  </si>
  <si>
    <t>Critérios, Itens e Processos Gerenciais</t>
  </si>
  <si>
    <t>Progresso</t>
  </si>
  <si>
    <t>Pont. 
Max</t>
  </si>
  <si>
    <t>% alcançado</t>
  </si>
  <si>
    <t>Pontos</t>
  </si>
  <si>
    <t>Pontos
Perd</t>
  </si>
  <si>
    <t>Bônus
 IA &amp; Inov</t>
  </si>
  <si>
    <t>Dig</t>
  </si>
  <si>
    <t>Com
IA</t>
  </si>
  <si>
    <t>Abr</t>
  </si>
  <si>
    <t>É
Orig</t>
  </si>
  <si>
    <t>Grau da avaliação</t>
  </si>
  <si>
    <t>% atribuído</t>
  </si>
  <si>
    <t xml:space="preserve">1 LIDERANÇA </t>
  </si>
  <si>
    <t>Nível B</t>
  </si>
  <si>
    <t>Nível I</t>
  </si>
  <si>
    <t>Nível II</t>
  </si>
  <si>
    <t>Nível III</t>
  </si>
  <si>
    <t>1.2 Governança</t>
  </si>
  <si>
    <t xml:space="preserve">2 ESTRATÉGIAS </t>
  </si>
  <si>
    <t>2.1 Manutenção de estratégias sustentáveis</t>
  </si>
  <si>
    <t>2.2 Implementação das estratégias</t>
  </si>
  <si>
    <t>Este quadro é usado no cálculo</t>
  </si>
  <si>
    <r>
      <t xml:space="preserve">2.3 </t>
    </r>
    <r>
      <rPr>
        <sz val="10"/>
        <color theme="1"/>
        <rFont val="Arial"/>
        <family val="2"/>
      </rPr>
      <t xml:space="preserve">Análise </t>
    </r>
    <r>
      <rPr>
        <sz val="10"/>
        <color rgb="FF000000"/>
        <rFont val="Arial"/>
        <family val="2"/>
      </rPr>
      <t xml:space="preserve">de </t>
    </r>
    <r>
      <rPr>
        <sz val="10"/>
        <color theme="1"/>
        <rFont val="Arial"/>
        <family val="2"/>
      </rPr>
      <t>desempenho</t>
    </r>
  </si>
  <si>
    <t xml:space="preserve">3 CLIENTES </t>
  </si>
  <si>
    <t>3.2 Experiência sustentável</t>
  </si>
  <si>
    <t>4 SOCIEDADE</t>
  </si>
  <si>
    <t>5 CONHECIMENTO, INOVAÇÃO E TECNOLOGIA</t>
  </si>
  <si>
    <t xml:space="preserve">6 PESSOAS </t>
  </si>
  <si>
    <t xml:space="preserve">7 PROCESSOS </t>
  </si>
  <si>
    <t>7.3 Processos econômico-financeiros</t>
  </si>
  <si>
    <t xml:space="preserve">Subtotal </t>
  </si>
  <si>
    <t>Méd. 1-7-&gt;</t>
  </si>
  <si>
    <t xml:space="preserve">8 RESULTADOS </t>
  </si>
  <si>
    <t>Competitiv</t>
  </si>
  <si>
    <t>Comprom</t>
  </si>
  <si>
    <t>8.1 Econômico-financeiros</t>
  </si>
  <si>
    <t>8.2 Ambientais</t>
  </si>
  <si>
    <t xml:space="preserve">8.3 Sociais </t>
  </si>
  <si>
    <r>
      <t>8.</t>
    </r>
    <r>
      <rPr>
        <sz val="10"/>
        <color theme="1"/>
        <rFont val="Arial"/>
        <family val="2"/>
      </rPr>
      <t>4</t>
    </r>
    <r>
      <rPr>
        <sz val="10"/>
        <color rgb="FF000000"/>
        <rFont val="Arial"/>
        <family val="2"/>
      </rPr>
      <t xml:space="preserve"> Clientes e mercado</t>
    </r>
  </si>
  <si>
    <r>
      <t>8.</t>
    </r>
    <r>
      <rPr>
        <sz val="10"/>
        <color theme="1"/>
        <rFont val="Arial"/>
        <family val="2"/>
      </rPr>
      <t>5</t>
    </r>
    <r>
      <rPr>
        <sz val="10"/>
        <color rgb="FF000000"/>
        <rFont val="Arial"/>
        <family val="2"/>
      </rPr>
      <t xml:space="preserve"> Pessoas</t>
    </r>
  </si>
  <si>
    <r>
      <t>8.</t>
    </r>
    <r>
      <rPr>
        <sz val="10"/>
        <color theme="1"/>
        <rFont val="Arial"/>
        <family val="2"/>
      </rPr>
      <t>6</t>
    </r>
    <r>
      <rPr>
        <sz val="10"/>
        <color rgb="FF000000"/>
        <rFont val="Arial"/>
        <family val="2"/>
      </rPr>
      <t xml:space="preserve"> Processos</t>
    </r>
  </si>
  <si>
    <t>Total Geral</t>
  </si>
  <si>
    <t>Méd.8-&gt;</t>
  </si>
  <si>
    <t>49.       A sigla ESG - Environmental, Social &amp; Governance - foi mantida na língua inglesa considerando sua difusão e esforços internacionais pelo desenvolvimento sustentável.</t>
  </si>
  <si>
    <t>50.       Ver glossário.</t>
  </si>
  <si>
    <t>51.       Inclui a força de trabalho e pessoas de outras partes interessadas que atuam junto a ela nos processos operacionais e gerenciais.</t>
  </si>
  <si>
    <t>52.       Ver glossário.</t>
  </si>
  <si>
    <t>53.       Ex.: cláusulas de condição de emprego claras; padrões de devolução de presentes ou brindes, de pagamento de despesas de representação, de anuência formal e treinamento no código de conduta, de atendimento transparente de clientes, fornecedores e fiscalização e outras medidas preventivas.</t>
  </si>
  <si>
    <t>54.       Ex.: atendimento de fornecedores e fiscalizações em mais de um interlocutor, em salas com monitoramento e código de conduta explícitos, e outros mecanismos de dissuasão.</t>
  </si>
  <si>
    <t>55.       Ex.: coleguismo, disciplina, comprometimento, reconhecimento, feedback, conservação etc.</t>
  </si>
  <si>
    <t>56.       Ex.: paternalismo, indisciplina, descompromisso, “achismo”, resistência a feedback, soberba etc.</t>
  </si>
  <si>
    <t>57.       A comunicação positiva enfatiza aspectos favoráveis da cultura, opostos aos aspectos disfuncionais que estão sendo tratados.</t>
  </si>
  <si>
    <t>58.       Pessoa de fora da organização ou da área ou recém integrado, capaz de perceber com mais assertividade traços culturais particulares do grupo social.</t>
  </si>
  <si>
    <t>59.       As diretrizes incluem as estatutárias, de controles internos, prestação de contas, modelo de gestão e afins, bem como as diretrizes estratégicas homologadas como valores, princípios, políticas, planos estratégicos e de investimentos, modelo de negócio e outros.</t>
  </si>
  <si>
    <t>60.       No caso de organizações que operam sob regimes jurídicos que não possuem instância controladora formal esse requisito pode ser atendido por sistema de certificação independente, com exigência de políticas e planos (rumos) e auditoria (controle).</t>
  </si>
  <si>
    <t>61.       As formas de assegurar a continuidade do negócio podem incluir a estrutura organizacional responsável e suas atividades para isso; garantia de independência e recursos para isso; os planos, prazos e procedimentos relativos à  continuidade e promoção da resiliência do negócio;  exercícios simulados de restauração da normalidade gerencial e operacional em eventos de ruptura, prestação de contas da capacidade de restauração e outros.</t>
  </si>
  <si>
    <t>62.       Órgãos de governança como Conselho, Comitês de estratégia, auditoria, riscos etc.</t>
  </si>
  <si>
    <t>63.       Proprietários (sócios ou acionistas), mantenedores ou instituidores.</t>
  </si>
  <si>
    <t>64.       Auditoria externa, tribunais de contas, agências reguladoras e assemelhados.</t>
  </si>
  <si>
    <t>65.       Políticas, estatutos, normas, regulamentos, instruções, contratos e assemelhados.</t>
  </si>
  <si>
    <t>66.       Ver explicação no glossário de “continuidade do negócio”..</t>
  </si>
  <si>
    <t>67.       Fomento para PD&amp;I, sustentabilidade, produtividade e outros. O fomento pode abranger financiamentos reembolsáveis e não-reembolsáveis, renúncias fiscais, bolsas de estudo e assemelhados.</t>
  </si>
  <si>
    <t>68.       O comprometimento ESG engloba o conjunto de ações ambientais, sociais e de governança praticadas pela organização. Pode ser avaliado por intermédio do ABES ESG Index.</t>
  </si>
  <si>
    <t>69.       Os riscos existentes envolvem exposições atuais e que podem surgir no futuro, olhando para o negócio e para as estratégias, inclusive das mudanças mais importantes.</t>
  </si>
  <si>
    <t>70.       Cumprimento de leis e regulamentos em todas as esferas e tipos, incluindo TAC - Termos de Ajustes de Conduta, quando existirem.</t>
  </si>
  <si>
    <t>71.       Ver 5.3b para abrangência da segurança digital.</t>
  </si>
  <si>
    <t>72.       Incidentes, acidentes ou resultados que tem potencial de abalar a imagem da organização na sociedade, no mercado  ou internamente.</t>
  </si>
  <si>
    <t>73.       Por exemplo: debates em sistema de reuniões hierárquicas ou transversais, grupos de mensagens instantâneas ou sistema de votação.</t>
  </si>
  <si>
    <t xml:space="preserve">74.       Inclui mecanismo de deliberação individual e colegiada, análise de risco e reversibilidade (ex. decisões irreversíveis necessitam mais níveis de aprovação e mais estudos, decisões reversíveis menos níveis e estudos mais rasos), influência das alçadas, resolução de divergências, sistema de escalada, aprovação de documentos, registro e compartilhamento de decisões etc.  </t>
  </si>
  <si>
    <t>75.       Ver glossário</t>
  </si>
  <si>
    <t>76.       Inclui a produtividade.</t>
  </si>
  <si>
    <t>77.       As oportunidades e ameaças provenientes do macroambiente, do setor de atuação e do mercado de atuação. As do macroambiente abrangem os riscos externos já identificados e outros aspectos conjunturais da sociedade em geral ou das regiões de atuação, tais como políticos, econômicos, sociais, ambientais, tecnológicos e legais. As oportunidades e ameaças do setor de atuação englobam aspectos relativos ao ambiente operacional da organização, cadeia de fornecimento, formadores de opinião e outras forças atuantes no setor como um todo, entre elas as políticas públicas e a situação dos recursos. As oportunidades e ameaças do mercado de atuação (de fornecimento de produtos, de trabalho, financeiro e de capitais, da cadeia de suprimento e de atuação socioambiental) abrangem a dinâmica da competição existente por clientes, oportunidades e recursos, como características e competências dos principais concorrentes, novos entrantes, organizações de referência do setor ou de fora dele.</t>
  </si>
  <si>
    <t>78.       As forças e fraquezas provenientes do ambiente interno relacionadas aos riscos internos já identificados e outros aspectos identificados na avaliação do desempenho do negócio como situação econômico-financeira, de ativos de infraestrutura e intangíveis, competências ou outros recursos.</t>
  </si>
  <si>
    <t>79.       Objetivos do Desenvolvimento Sustentável das Nações Unidas, 2015.</t>
  </si>
  <si>
    <t>80.       Processo também conhecido como de levantamento da matriz de materialidade.</t>
  </si>
  <si>
    <t>81.       As partes interessadas que a organização influencia e as partes interessadas que a influenciam.</t>
  </si>
  <si>
    <t>82.       Indicadores associados à visão e/ou missão crítica, objeto social, podendo incluir indicadores relativos a anseios de partes interessadas mais importantes. Além desses indicadores, a organização poderá definir outros indicadores específicos para monitorar estratégias (ver 2.1d) e podem até serem os mesmos.</t>
  </si>
  <si>
    <t>83.       As demandas do desenvolvimento sustentável expressam a voz das gerações futuras de seres vivos.</t>
  </si>
  <si>
    <t>84.       Pode requerer a compatibilização ou redefinição de visão de futuro e missão crítica, bem como revisão do objeto social da organização, como premissa para o planejamento estratégico.</t>
  </si>
  <si>
    <t>85.       Ver glossário Requisito de parte interessada.</t>
  </si>
  <si>
    <t>86.       Esses requisitos podem estar relacionados a fatores de desempenho muito importantes dos processos (7.1a, 7.3a).</t>
  </si>
  <si>
    <t>87.       No caso de operadores, os compromissos de universalização estão entre eles.</t>
  </si>
  <si>
    <t>88.       O próprio MEGSA®ESG possui um fator que avalia o atendimento aos compromissos com as partes interessadas.</t>
  </si>
  <si>
    <t>89.       Não necessariamente de forma síncrona.</t>
  </si>
  <si>
    <t>90.       Que lhes estão trazendo diferenciais competitivos evidentes e que deveriam ser incorporadas pela organização para se manter competitiva com desenvolvimento sustentável.</t>
  </si>
  <si>
    <t>91.       As forças representam os ativos intangíveis que a organização possui.</t>
  </si>
  <si>
    <t>92.       As estratégias adotadas podem ser expressas na forma dos próprios planos estratégicos. Ex.: “Projeto inovação digital em serviços”.</t>
  </si>
  <si>
    <t>93.       Esses indicadores servem para avaliar estratégias específicas e são influenciadores de indicadores do negócio (ver 2.1a)</t>
  </si>
  <si>
    <t>94.       Trata-se dos planos estratégicos que serão desdobrados nos processos.</t>
  </si>
  <si>
    <t>95.       Se possível, citar as econômicas, de clientes, de produtos, ambientais,  sociais, de mercado, de pessoas,  de processos, de recursos hídricos, quando aplicável, financeiras, de ativos de infraestrutura operacional, quando aplicável, de fornecimento e de governança.</t>
  </si>
  <si>
    <t>96.       Repetir no Critério 8 as principais metas nos indicadores estratégicos, identificados com (E), juntamente com pequena explicação do potencial de alcance.</t>
  </si>
  <si>
    <t>97.       A avaliação do potencial de alcance de metas estratégicas trata da análise da possibilidade de alcançá-las,  considerando o nível atual, os planos estratégicos e cenários emergentes e pode incluir estudos realizados pelos analistas para fazer projeções e suas conclusões, como avaliações de retorno de investimentos, avaliações consensuais de dirigentes ou especialistas baseadas na experiência, observação de resultados alcançados por outras organizações ou processos e outros.  As conclusões sumarizadas dessa análise devem ser relatadas no Critério 8 para alguns dos resultados estratégicos e servem para avaliar o fator “Potencial” dos resultados.</t>
  </si>
  <si>
    <t>98.       Ver glossário. A busca pela inovação é tratada em 5.2</t>
  </si>
  <si>
    <t>99.       Os referenciais comparativos pertinentes aqui citados são aqueles obtidos (ver 5.2a) para inspirar metas.</t>
  </si>
  <si>
    <t>100.   Ver glossário.</t>
  </si>
  <si>
    <t>101.   As mudanças podem influenciar a estruturação das equipes e seus líderes (ver 6.1a)</t>
  </si>
  <si>
    <t>102.   As metas e planos estratégicos influenciam nos indicadores, metas e planos a serem estabelecidos para os processos primários e de suporte (7.1) e econômico-financeiros (7.3) e consequentemente para os processos de fornecimento (7.2).</t>
  </si>
  <si>
    <t>103.   As metas para os processos de fornecimento (7.2) decorrem do projeto/planejamento de processos primários e de suporte (7.1b).</t>
  </si>
  <si>
    <t>104.   A verificação de coerência possibilita identificação de redundâncias ou pré-requisitos não tratados.</t>
  </si>
  <si>
    <t>105.   Os projetos ou planos são desdobrados, a partir das estratégias, para os processos primários e de suporte em 7.1b juntamente com outros requisitos, relativos a clientes, outras partes interessadas e áreas internas, de melhorias dos processos e para os processos econômico-financeiros em 7.3a.</t>
  </si>
  <si>
    <t>106.   O próprio uso regular e contínuo do MEGSA®ESG permite realizar esse acompanhamento, se os indicadores do Critério 8 utilizados forem acompanhados pela média móvel de 12 meses.</t>
  </si>
  <si>
    <t>107.   O desempenho operacional refere-se ao desempenho dos processos primários e de suporte.</t>
  </si>
  <si>
    <t>108.   A avaliação deve deixar evidente quais as principais decisões tomadas, os riscos e oportunidades associadas e como devem retroalimentar os planos para garantir o alcance de metas.</t>
  </si>
  <si>
    <t>109.   O nível de competitividade e o nível de atendimento de compromissos com partes interessadas geralmente são medidos em ciclos mais longos, por exemplo, anuais e para alguns resultados trimestrais, e avaliados em foros especiais.</t>
  </si>
  <si>
    <t>110.   Ver glossário. Não é só no mercado-alvo de produtos.</t>
  </si>
  <si>
    <t>111.   O desempenho competitivo é conhecido por meio da comparação de resultados alcançados pela organização com referenciais comparativos pertinentes (ver 2.3a). O Critério 8 requer esta mensuração para o último exercício ou ciclo de avaliação, para resultados estratégicos.</t>
  </si>
  <si>
    <t>112.   O atendimento aos requisitos de partes interessadas é conhecido por meio da comparação de resultados alcançados pela organização com expectativas de partes interessadas ou metas delas desdobradas. O Critério 8 requer essa demonstração de atendimento para o último exercício ou ciclo de avaliação, para resultados estratégicos.</t>
  </si>
  <si>
    <t>113.   As fontes dos referenciais comparativos, utilizados na demonstração de resultados no Critério 8, devem ser coerentes com os critérios de definição de sua pertinência aqui informados. Na demonstração de um resultado, no Critério 8, devem ser informados, para identificar o referencial comparativo utilizado, por exemplo, o nome dos concorrentes; o nome da organização de referência; o nome de índice ou taxa referencial; a característica ou tipo de média, do setor ou mercado, relevante para avaliar a competitividade; ou outros.</t>
  </si>
  <si>
    <t>114.   A obtenção dos referenciais comparativos (ver 5.2a), no mercado ou setor de atuação, pode abranger a região de atuação da organização ou, quando se desejar conhecer os níveis dos melhores da classe, as regiões onde o setor é mais desenvolvido. Somente a similaridade de porte e de objetivo não caracterizam pertinência, a menos que seja organização concorrente ou congênere em mercado mais desenvolvido ou universalizado.</t>
  </si>
  <si>
    <t xml:space="preserve">115.   A direção acompanha os indicadores e planos de forma integrada para melhor decidir, tendo uma visão global de seu andamento e das inter-relações entre eles.  </t>
  </si>
  <si>
    <t>116.   Ver glossário. Não se limitam a séries históricas de medições.</t>
  </si>
  <si>
    <t>117.   A organização pode ter mais de um foro de análise ou “view” de resultados. Por exemplo, do conselho, da direção, de comitês ou comissões, de programas, de perspectiva, de áreas e outras.</t>
  </si>
  <si>
    <t>118.   O uso de técnicas de agregação permite a percepção de correlações entre eles.</t>
  </si>
  <si>
    <t>119.   O uso do MEGSA®ESG permite avaliar esses indicadores por meio dos Fatores do Critério 8.</t>
  </si>
  <si>
    <t>120.   Podem ser avaliados os planos desdobrados  que estão cumprindo o cronograma.</t>
  </si>
  <si>
    <t>121.   Indicador “Metas estratégicas alcançadas (sobre as metas estratégicas pré-estabelecidas)”</t>
  </si>
  <si>
    <t>122.   No caso de concessões públicas, refere-se ao mercado de monopólio natural e mercados internos corporativos.</t>
  </si>
  <si>
    <t>123.   Ver glossário.</t>
  </si>
  <si>
    <t>124.   Exemplo: poder concedente de operações de saneamento ambiental, consumidores cativos ou compulsórios de serviços de saneamento ambiental de concessão, operadores concessionários compradores de serviços e soluções de saneamento ambiental e outros.</t>
  </si>
  <si>
    <t>125.   No caso de unidades de apoio de operadores é relevante estudar o seu mercado corporativo interno, principalmente se for compulsória a escolha dos clientes, e conhecer possíveis fatias de participação perdidas para outras soluções externas ou próprias, do cliente alvo. A colocação de produtos de unidades de apoio no seu mercado corporativo se dá por diretriz organizacional e é regulado por padrões ou acordos internos de nível de serviço.</t>
  </si>
  <si>
    <t>126.   “Competidores” abrangem fornecedores de soluções equivalentes ou alternativas que atendem as necessidades e expectativas do mercado-alvo da organização, podendo ser, inclusive, o próprio cliente.</t>
  </si>
  <si>
    <t>127.   Em casos de monopólios naturais ou virtuais, os clientes potenciais podem não ter alternativa, os produtos podem ser essenciais para os clientes-alvo, os clientes podem ser pessoas em situação de vulnerabilidade social ou com deficiência.</t>
  </si>
  <si>
    <t>128.   As fatias de participação em mercados concessionados de monopólio natural é o grau de cobertura ou de atendimento.</t>
  </si>
  <si>
    <t>129.   Os principais segmentos de atuação devem ser informados no Perfil.</t>
  </si>
  <si>
    <t>130.   “market-share”</t>
  </si>
  <si>
    <t>131.   Para área de suporte, os clientes-alvo podem estar internalizando as soluções ou adquirindo no mercado, por falta de disponibilidade ou qualidade do atendimento, e essa condição deve ser conhecida.</t>
  </si>
  <si>
    <t>132.   As  principais necessidades, expectativas  e predisposições dos clientes devem ser apresentadas no Perfil.</t>
  </si>
  <si>
    <t>133.   Quando existirem associações setoriais, redes de revendedores, representantes, usuários e outras redes.</t>
  </si>
  <si>
    <t>134.   O projeto de produtos e operações é tratado no Item 7.1.</t>
  </si>
  <si>
    <t>135.   Ex.: formas de operação segura, reaproveitamento ou destinação de resíduos associados adequados.</t>
  </si>
  <si>
    <t>136.   Para área de suporte, prestadora de serviços internos, sua ‘marca’ pode ser considerada a sua própria denominação.</t>
  </si>
  <si>
    <t>137.   Ambientes, publicações, exibições, conteúdos e associação a outras marcas, incompatíveis com os valores e princípios, com a ética, a integridade da informação (‘fake news’) e com o desenvolvimento sustentável.</t>
  </si>
  <si>
    <t>138.   A disponibilidade de acesso à organização para manifestações do cliente deve se restringir à pronta coleta de informações para sua identificação e sobre a manifestação e não deve, sem consentimento, abranger informações irrelevantes ou alheias ao fato.</t>
  </si>
  <si>
    <t>139.   Leva em conta os interesses das partes interessadas afetadas, além do cliente e controlador.</t>
  </si>
  <si>
    <t>140.   Em tempo compatível com o tipo de contrato.</t>
  </si>
  <si>
    <t>141.   A verificação reduz a probabilidade de inferências na contratação, com consequências na satisfação do cliente ou na concessão de serviços de forma gratuita.</t>
  </si>
  <si>
    <t>142.   Com a finalidade de avaliar a competitividade da experiência. Ex: Muito superior ao referencial, superior, equivalente, inferior ou muito inferior.</t>
  </si>
  <si>
    <t>143.   Em mercados concessionários com monopólio natural considerar também a fidelização da concessão pelo poder concedente além do desenvolvimento da confiança do consumidor na organização. Para as áreas de suporte, prestadoras de serviços internos, a gestão da fidelização pode avaliar se as áreas clientes buscam outras opções de fornecimento ou realizam, elas próprias o mesmo serviço da área de suporte, e o motivo dessa decisão.</t>
  </si>
  <si>
    <t>144.   São as comunidades do entorno ou ao longo das instalações, aglomerados subnormais da região de atuação, comunidades profissionais, comunidades de familiares de trabalhadores.</t>
  </si>
  <si>
    <t>145.   A metodologia do ABES ESG Index pode ser utilizada como autoavaliação.</t>
  </si>
  <si>
    <t>146.   A compensação inclui a neutralização e negativação (neutralização de impactos acumulados no ambiente).</t>
  </si>
  <si>
    <t>147.   Sem conflito de interesses.</t>
  </si>
  <si>
    <t>148.   Por meio de exercícios ou simulações.</t>
  </si>
  <si>
    <t>149.   Sem conflito de interesses.</t>
  </si>
  <si>
    <t>150.   Ver glossário.</t>
  </si>
  <si>
    <t>151.   Inclui acervo cultural</t>
  </si>
  <si>
    <t>152.   Pilotos referem-se a testes em ambiente real controlado.</t>
  </si>
  <si>
    <t>153.   Experimentos referem-se a aproximações da realidade por meio de prototipagem, modelagem ou simulação em ambiente que reproduz o real.</t>
  </si>
  <si>
    <t>154.   Captados, ampliados, aplicados, disseminados e protegidos.</t>
  </si>
  <si>
    <t>155.   As competências essenciais para o êxito das estratégias são determinadas no processo de manutenção de estratégias sustentáveis (Item 2.1).</t>
  </si>
  <si>
    <t>156.   Modelos como o próprio MEGSA®ESG em seus diversos Níveis de maturidade.</t>
  </si>
  <si>
    <t>157.   A proteção refere-se ao acervo de padrões confidenciais e às pessoas e fornecedores detentores de competências críticas para o negócio.</t>
  </si>
  <si>
    <t>158.   Concorrentes, organizações de referência dentro ou fora do ramo, congêneres em mercados mais desenvolvidos, associações de classe, congressos, consultorias e afins.</t>
  </si>
  <si>
    <t xml:space="preserve">159.   O ambiente favorável inclui a disponibilização de ambientes presenciais ou virtuais de troca e discussão, ferramentas colaborativas, liberdade de acesso à internet, visitas de benchmarking, boletins técnicos, busca em acervos.  </t>
  </si>
  <si>
    <t>160.   Concorrentes, organizações de referência dentro ou fora do ramo, congêneres em mercados mais desenvolvidos, associações de classe, congressos, consultorias e afins.</t>
  </si>
  <si>
    <t>161.   Ver glossário.</t>
  </si>
  <si>
    <t>162.   O mecanismo de busca inteligente facilita a localização de informações por conjunto de palavras chaves livremente escolhidas e exibição de resultado de interesse mais provável.</t>
  </si>
  <si>
    <t>163.   Institutos públicos ou privados, com ou sem finalidade de lucro, com expertises em campos do conhecimento complementares.</t>
  </si>
  <si>
    <t>164.   O teor de originalidade ou novidade deve levar em conta o setor de atuação.</t>
  </si>
  <si>
    <t xml:space="preserve">165.   O ambiente favorável inclui a disponibilização de ambientes colaborativos para favorecer a troca e discussão de ideias criativas, a liberdade de acesso à internet, visitas a centros de inovação, mutirões de criatividade, concursos e outros.  </t>
  </si>
  <si>
    <t>166.   Por meio de engajamento, incentivo, reconhecimento.</t>
  </si>
  <si>
    <t>167.   A análise de melhorias potenciais é tratada no Item 7.1</t>
  </si>
  <si>
    <t>168.   O projeto e melhoria de produtos e processos são tratados no Item 7.1.</t>
  </si>
  <si>
    <t>169.   Os planos de melhoria da gestão são tratados em 5.1.</t>
  </si>
  <si>
    <t>170.   O fomento a inovações pode ser medido por meio de sugestões ou experimentos.</t>
  </si>
  <si>
    <t>171.   O projeto e melhoria de produtos e processos são tratados no Item 7.1.</t>
  </si>
  <si>
    <t>172.   Os planos de melhoria da gestão são tratados em 5.1.</t>
  </si>
  <si>
    <t>173.   Inclui orçamento e metas para realização de pilotos ou experimentos.</t>
  </si>
  <si>
    <t>174.   A tradução reside em formular ideias e hipóteses sobre os resultados esperados.</t>
  </si>
  <si>
    <t>175.   O aumento gigantesco de dados de tipos e naturezas diversas geradas pela organização e disponíveis no ambiente externo, bem como as possibilidades infinitas de seu cruzamento inteligente pode requerer políticas e processos gerenciais dedicados.</t>
  </si>
  <si>
    <t>176.   O atendimento exclusivo e objetivo aos clientes retira valor das operações de seu atendimento as eventuais atividades relacionadas, na realidade, ao atendimento de controladores, como divulgação não solicitada de produtos, coleta de informações desnecessárias ao atendimento ou redundantes, prejudicando a qualidade do atendimento ao  cliente.</t>
  </si>
  <si>
    <t>177.   Engenharia social, no contexto de segurança da informação, refere-se à intrusão por meio de manipulação psicológica de pessoas para que realizem atos de quebra de segurança.</t>
  </si>
  <si>
    <t>178.   A validação humana visa a reduzir riscos de viés ou de falsidade decorrentes da geração assistida de informação escrita, falada, visual, sensorial e material por meio de ferramentas de I.A., cujo funcionamento é sujeito a imperfeições decorrentes de sua arquitetura.</t>
  </si>
  <si>
    <t>179.   Os aspectos são a confidencialidade, a proteção, a atualização e a integridade das informações, bem como a continuidade dos serviços de informação.</t>
  </si>
  <si>
    <t xml:space="preserve">180.   Atividades de suporte de áreas de recursos humanos ou afins, como recrutamento &amp; seleção; integração de recém-chegados; suporte a expatriados; treinamentos profissionais, comportamentais e de cidadania; desenvolvimento de líderes; análise de perfis, feedback de desempenho; monitoramento da percepção da força de trabalho; plano de benefícios; suporte psicológico; orientação assistida (coaching); políticas de jornada e local de trabalho; controle de presença; controle de produção e outros.     </t>
  </si>
  <si>
    <t>181.   As compensações podem incluir remuneração fixa e variável, estabilidade, pacote de benefícios oferecidos e outras vantagens.</t>
  </si>
  <si>
    <t>182.   A mobilização inclui a atribuição de responsabilidades, a orientação (coaching), o aconselhamento de carreira, a retroalimentação (feedback) de desempenho; o reconhecimento de contribuições extraordinárias (incondicional) e o incentivo pelo alcance de metas (condicional).</t>
  </si>
  <si>
    <t>183.   Ver item 7.1</t>
  </si>
  <si>
    <t>184.   Para equipes de lideranças</t>
  </si>
  <si>
    <t>185.   O grau de autonomia pode ser individual ou da equipe e considerando pareceres especializados de outras áreas.</t>
  </si>
  <si>
    <t>186.   A pré-definição da autoridade dos responsáveis por grupos multifuncionais é necessária para evitar conflitos de autoridade com as funções.</t>
  </si>
  <si>
    <t>187.   A estruturação das equipes pode ser avaliada pela produtividade global, operacional e administrativa, pela hora extra não planejada  ou outro indicativo de desbalanceamento de equipes.</t>
  </si>
  <si>
    <t>188.   Que visam a promover a erradicação de preconceitos e o respeito à diversidade étnica, de gênero, de orientação sexual, idade, condições físicas e mentais, cultural,  ideológica, religiosa e outras.</t>
  </si>
  <si>
    <t>189.   A competência social é determinada por aspectos comportamentais que contribuem para a aceitação no grupo social. Indivíduos socialmente competentes tendem a lidar bem com regras sociais e seus papéis em  situações diversas, a compreender com mais facilidade e reagir com empatia ao comportamento dos outros e seus estados emocionais, a estar dispostos para agir de forma coerente com as regras sociais do contexto, seu papel e a percepção do outro, a ser autoconfiantes para interagir socialmente e entender possíveis rejeições ou conflitos com naturalidade.</t>
  </si>
  <si>
    <t>190.   A avaliação pode estar disponível no caso de recrutamento interno.</t>
  </si>
  <si>
    <t>191.   Se a organização fizer parte da mesma controladora que a organização origem do recém-chegado, a integração cultural poderá ser abreviada.</t>
  </si>
  <si>
    <t>192.   A composição das equipes pode ser avaliada pela retenção após período experimental, ‘turnover’, ‘turnover de talentos’, cumprimento de metas.</t>
  </si>
  <si>
    <t xml:space="preserve">193.   O projeto ou planejamento dos processos (7.1) de forma alinhada a estratégias emergentes pode determinar novas necessidades de desenvolvimento de competências das pessoas.  </t>
  </si>
  <si>
    <t>194.   Por exemplo: programas de treinamento na comunicação interpessoal, vivência em grupo, construção de times, trabalho em equipe, serviços de assistência psicológica e social, entre outros.</t>
  </si>
  <si>
    <t>195.   Por exemplo: programas de orientação ou assistência jurídica, treinamento em direitos e deveres do cidadão, segurança na internet, utilização de redes sociais, funcionamento e canais da administração pública e da justiça, crédito responsável, estímulo ou apoio ao voluntariado e ética empresarial, entre outros.</t>
  </si>
  <si>
    <t>196.   Por exemplo: programas de uso e atualização em informática, capacitação em língua estrangeira, comunicação oral e escrita, uso racional de correio eletrônico, métodos de análise e solução de problemas, apresentações eficazes, uso eficiente do tempo e trabalho administrativo completo, entre outros.</t>
  </si>
  <si>
    <t>197.   Risco é a probabilidade ou chance de ocorrer um acidente. Perigo é uma condição ou circunstância insegura que pode causar ou contribuir para um acidente.</t>
  </si>
  <si>
    <t>198.   Extremamente importante quando há incentivos financeiros associados à redução de acidentes ou possibilidade de qualquer demérito, exposição ou represália a acidentados pela ocorrência de acidentes.</t>
  </si>
  <si>
    <t>199.   Por exemplo:  campanhas, canal de denúncia ou verificação de sinais físicos.</t>
  </si>
  <si>
    <t>200.   O clima abrange o ambiente físico e social. inclui a qualidade das relações humanas interpessoais; mobilização para atuação voluntária em projetos socioambientais; liberdade de expressão e receptividade de ideias, opiniões e sugestões; confiança demonstrada pela liderança; respeito às diferenças; tolerância ao contraditório, existência de desafios; qualidade das instalações e equipamentos; flexibilidade de horário; viabilidade de trabalho remoto; mobilidade; serviços e benefícios; disponibilidade de canais de manifestação responsivos; acesso fácil à direção; qualidade das ações socioambientais; reputação da organização na sociedade; práticas de igualdade de oportunidades e outras variáveis que influenciam no bem-estar das pessoas e o seu comprometimento com a responsabilidade socioambiental individual, identificadas pela organização.</t>
  </si>
  <si>
    <t>201.   O plano de comunicação interna voltado ao engajamento com o desenvolvimento sustentável procura desenvolver uma cultura de comprometimento com as futuras gerações.</t>
  </si>
  <si>
    <t>202.   A responsividade de manifestação anônima deve ser por meio de comunicado público se tiver potencial de representar manifestação generalizada.</t>
  </si>
  <si>
    <t>203.   O pronto e justo reconhecimento a contribuições de pessoas, identificadas e confirmadas como extraordinárias, i.e., além do esperado, visa a, sem procrastinação, reforçar o comportamento de alto desempenho, servir de exemplo à força de trabalho e demonstrar agradecimento formal da organização pelo feito, aumentando o engajamento geral.</t>
  </si>
  <si>
    <t>204.   O reconhecimento pode destacar competências associadas à alta performance identificadas nas equipes. Ex. inovação, agilidade, trabalho em grupo, foco em resultados.</t>
  </si>
  <si>
    <t>205.   Espera-se que a intensidade do reconhecimento formal a contribuições extraordinárias e o incentivo ao alcance e superação de metas sejam medidos.</t>
  </si>
  <si>
    <t>206.   O ambiente de negócios do setor do saneamento ambiental está sendo fortemente afetado pelos marcos regulatórios visando à universalização, demandando novas competências de liderança.</t>
  </si>
  <si>
    <t>207.   As competências de liderança relacionadas com o desenvolvimento sustentável incluem o conhecimento dos objetivos do desenvolvimento sustentável da ONU, da matriz de materialidade da organização e das exigências da organização que pratica a responsabilidade ESG, habilidade de criar valor para as partes interessadas na sua esfera de atuação e atitude ética e de cidadania exemplares, aplicando os conhecimentos na formulação de diretrizes, no planejamento e na vida pessoal.</t>
  </si>
  <si>
    <t>208.   O planejamento inclui o mecanismo de adaptação a cenários emergentes não previstos.</t>
  </si>
  <si>
    <t>209.   Os fatores de desempenho são também conhecidos como requisitos de desempenho. São desdobrados dos requisitos de partes interessadas. Ex.: regularidade do fornecimento, qualidade intrínseca do produto (físico),  fácil acesso à organização, eficiência energética, minimização de perdas, minimização de retrabalho, renovação de redes, redução de custo e operações inteligentes.</t>
  </si>
  <si>
    <t>210.   O termo “produtos” abrange bens, serviços, soluções, informações consolidadas ou um conjunto deles.</t>
  </si>
  <si>
    <t>211.   Os requisitos da sociedade para os produtos e processos abrangem requisitos socioambientais e relativos à proteção dos direitos dos clientes.</t>
  </si>
  <si>
    <t>212.   O termo “projeto” de processos pode ser entendido como planejamento dos processos.</t>
  </si>
  <si>
    <t>213.   A busca por inovações potenciais e projetos experimentais associados são tratados no Critério 5.</t>
  </si>
  <si>
    <t>214.   O uso de metodologia de projeto pode incluir padrões de autoridade e formação de equipe, design, análise de riscos, construção, lançamento, capacitação dos envolvidos, implantação, acompanhamento etc. e tem por objetivo estabelecer ou atualizar os padrões para que os fatores de desempenho sejam atendidos em sua plenitude, livre de contratempos. A definição da autoridade e papel dos líderes de projetos transversais pode ser requerida quando existir potencial para conflito de autoridade na estrutura organizacional.</t>
  </si>
  <si>
    <t>215.   Os diferentes tipos de projetos podem requerer metodologias ágeis, engenharia da confiabilidade e governança de projetos.</t>
  </si>
  <si>
    <t>216.   Refere-se aos fatores de desempenho que influenciarão os padrões dos processos de Fornecimento (7.2).</t>
  </si>
  <si>
    <t>217.   A avaliação de riscos deve abranger todas as dimensões que podem resultar em adversidades para a organização ou partes interessadas em decorrência do produto ou processo.</t>
  </si>
  <si>
    <t>218.   A saúde inclui a física e a emocional.</t>
  </si>
  <si>
    <t>219.   A segurança inclui a proteção de riscos, perigos ou perdas.</t>
  </si>
  <si>
    <t>220.   O termo “pessoas” tem o caráter amplo, incluindo equipe de projeto, força de trabalho, usuários, comunidade e fornecedores.</t>
  </si>
  <si>
    <t>221.   Compensação das emissões de gases do efeito estufa que não são neutralizadas no ciclo de suprimento, produção, entrega, uso pelo cliente e logística reversa de bens produzidos e de subprodutos. Os projetos devem contribuir para esse esforço.</t>
  </si>
  <si>
    <t>222.   A qualificação pode incluir certificação, graduação de habilidade, diplomação, formatura ou similar, relacionadas aos padrões operacionais essenciais.</t>
  </si>
  <si>
    <t>223.   A governança de projetos complexos visa a buscar garantir o seu direcionamento e controle, incluindo a responsabilização de administradores e a transparência.</t>
  </si>
  <si>
    <t>224.   A igualdade de gênero tem o caráter amplo, incluindo equipe de projeto, força de trabalho, clientes, comunidade e fornecedores.</t>
  </si>
  <si>
    <t>225.   O termo “subprodutos” abrange materiais, efluentes, resíduos, embalagens, sucatas etc. gerados no ciclo de produção, uso e disposição após o uso.</t>
  </si>
  <si>
    <t>226.   A minimização abrange os esforços para não emitir gases do efeito estufa desde o princípio do ciclo de vida do produto (“net-zero”).</t>
  </si>
  <si>
    <t>227.   A negativação abrange formas de retirar mais carbono da atmosfera além do necessário para neutralização, compensando passivos anteriores próprios e de terceiros. Os projetos devem contribuir para esse esforço.</t>
  </si>
  <si>
    <t>228.   Exemplos de métodos de análise de riscos: HACCP, FMEA, BowTie, “Momentos da verdade” e uso de I.A. e outros.</t>
  </si>
  <si>
    <t>229.   As ferramentas de controle permitem verificar se os processos estão sendo executados dentro de parâmetros de desempenho planejados. Entre as ferramentas de controle há indicadores, listas de verificação, inspeções, auditorias, controles automáticos e outras.</t>
  </si>
  <si>
    <t>230.   A locução “não conformidade” refere-se ao não atendimento a algum padrão esperado. O tratamento de não conformidade leva à identificação e eliminação das causas-raízes, de modo a assegurar que não haverá novas ocorrências.</t>
  </si>
  <si>
    <t>231.   As oportunidades podem ter origem nos métodos de investigação de inovações potenciais tratados no Critério 5.</t>
  </si>
  <si>
    <t>232.   Inclui a cadeia de suprimentos atual e futura.</t>
  </si>
  <si>
    <t>233.   Os fornecedores mencionados são aqueles que estão envolvidos ou que podem vir a se envolver com a cadeia de suprimentos da organização, fornecendo ou podendo vir a fornecer bens, serviços ou informações, direta ou indiretamente. Inclui-se como fornecedora, a sociedade quando outorga a extração de recursos naturais controlados, outras unidades internas da mesma empresa ou grupo empresarial em que a organização faz parte, instituições de serviços financeiros e outras.</t>
  </si>
  <si>
    <t>234.   A seleção engloba a escolha e a contratação.</t>
  </si>
  <si>
    <t>235.   Informações que permitam pré-qualificar requisitos mínimos, agilizando a qualificação.</t>
  </si>
  <si>
    <t>236.   Regime de remuneração e benefícios compatíveis com o mercado.</t>
  </si>
  <si>
    <t>237.   Inclui a inspeção de recebimento de bens, de serviços prestados e de informações.</t>
  </si>
  <si>
    <t>238.   A qualidade do fornecimento abrange todos os fatores de desempenho.</t>
  </si>
  <si>
    <t>239.   O termo “não conformidade” refere-se a falhas, perdas ou não atendimento a algum dos padrões, incluindo metas. O tratamento de não conformidade leva à identificação e tratamento das causas-raízes, de modo a assegurar que não haverá novas ocorrências.</t>
  </si>
  <si>
    <t>240.   Inclui fornecedores de mão de obra, terceirizados, parceiros e similares, cuja força de trabalho atua em operações que compõem o produto da organização, em suas instalações ou obras.</t>
  </si>
  <si>
    <t>241.   Volume, escopo, continuidade,programação e condições de fornecimento.</t>
  </si>
  <si>
    <t>242.   Ver nota 240</t>
  </si>
  <si>
    <t>243.   As operações administrativas financeiras (ex.: contabilidade, contas a pagar/a receber, tesouraria, controladoria etc.) devem ser geridas como operações de suporte. Este item trata do processo de gestão econômico-financeira.</t>
  </si>
  <si>
    <t>244.   A síntese inclui o mecanismo de adaptação a cenários emergentes não previstos.</t>
  </si>
  <si>
    <t>245.   Os indicadores econômicos servem para avaliar a capacidade de a organização gerar valor econômico para proprietários, mantenedores ou instituidores, dividindo-se em dois grupos: de “Rentabilidade” – Exs.: giro do ativo (receita líquida dividida pelo ativo); rentabilidade do patrimônio líquido (lucro líquido dividido pelo patrimônio líquido); margem bruta (receita de vendas menos o custo dos produtos vendidos dividido pela receita de vendas); vendas (receita de vendas dividida pela receita de vendas prevista); crescimento da receita (total de vendas no período de um ano dividido pelas vendas no ano anterior). Ainda podem ser incluídos indicadores como: valor econômico agregado (EVA – lucro líquido menos custo de oportunidade do capital empregado); Margem Ebitda, geração de caixa, índice de cobertura das despesas financeiras (Ebitda dividido pelas despesas financeiras), retorno de investimentos, produtividade econômica, receitas ou despesas por unidade produzida e de execução orçamentária; e de “Atividade” – atividades que afetam a rentabilidade – Exs.:  inadimplência, prazo médio de recebimento de vendas; prazo médio de renovação de estoques; prazo médio do pagamento de compras; ciclo  financeiro (prazo médio de recebimento de vendas mais prazo médio de renovação de estoques menos prazo médio do pagamento de compras), ticket médio, evasão de rendas ou perdas.</t>
  </si>
  <si>
    <t>Os indicadores  financeiros servem para avaliar a capacidade da empresa em honrar seus compromissos financeiros, dividindo-se em dois grupos: “Estrutura”  – Exs.: endividamento (passivo circulante mais exigível de longo prazo dividido pelo patrimônio líquido); composição do endividamento (passivo circulante dividido pelo passivo circulante mais exigível de longo prazo); endividamento oneroso (recursos onerosos divididos pelo passivo circulante mais exigível de longo prazo); imobilização (ativo permanente dividido pelo patrimônio líquido) e “Liquidez” – Exs.: liquidez corrente (ativo circulante dividido pelo passivo circulante); liquidez geral (ativo circulante mais realizável de longo prazo dividido pelo passivo circulante mais exigível de longo prazo), alavancagem (grau de endividamento da empresa sua capacidade de cumprir com as obrigações de longo prazo), horizonte de liquidez.</t>
  </si>
  <si>
    <t>246.   Metas de receitas, despesas, endividamento e investimentos.</t>
  </si>
  <si>
    <t>247.   O recolhimento tempestivo dos tributos contribui para o desenvolvimento sustentável.</t>
  </si>
  <si>
    <t>248.   A política de concessão de créditos deve abranger todas as transações com clientes, fornecedores, força de trabalho e outros tomadores pertinentes.</t>
  </si>
  <si>
    <t>Glossário</t>
  </si>
  <si>
    <r>
      <t>Os conceitos e definições aqui apresentados refletem, apenas, o significado de termos e locuções utilizados nos MEGSA</t>
    </r>
    <r>
      <rPr>
        <vertAlign val="superscript"/>
        <sz val="11"/>
        <rFont val="Arial"/>
        <family val="2"/>
      </rPr>
      <t>®</t>
    </r>
    <r>
      <rPr>
        <sz val="11"/>
        <rFont val="Arial"/>
        <family val="2"/>
      </rPr>
      <t xml:space="preserve"> ESG, não tendo a pretensão de normalizar terminologia. </t>
    </r>
  </si>
  <si>
    <t>Acessibilidade</t>
  </si>
  <si>
    <t>Acesso aos produtos, serviços, processos, informações ou instalações da organização a pessoas com deficiência que a sociedade ou a própria organização reconhecem que tenham limitações para deles se beneficiarem.</t>
  </si>
  <si>
    <t>Adaptação digital</t>
  </si>
  <si>
    <t>Incorporação de tecnologias digitais no modelo de negócio e nos processos da organização. A adaptação digital muda para melhor e agiliza substancialmente as interações digitais clássicas e a criação de valor para as partes interessadas, alterando a organização como um todo. </t>
  </si>
  <si>
    <t>Administradores</t>
  </si>
  <si>
    <r>
      <t xml:space="preserve">Conselheiros ou membros de instâncias controladoras juntamente com membros da </t>
    </r>
    <r>
      <rPr>
        <i/>
        <sz val="9"/>
        <rFont val="Arial"/>
        <family val="2"/>
      </rPr>
      <t>direção</t>
    </r>
    <r>
      <rPr>
        <sz val="9"/>
        <rFont val="Arial"/>
        <family val="2"/>
      </rPr>
      <t xml:space="preserve"> da organização. 
Notas:
(1) Nas sociedades anônimas, seriam os administradores definidos na Lei das S.A. (nº 6.404/76). 
(2) Na Unidade Autônoma/Apoio, considerar “conselheiros”, também, como instâncias superiores à qual ela responde.</t>
    </r>
  </si>
  <si>
    <t>Aspectos da cultura</t>
  </si>
  <si>
    <r>
      <t xml:space="preserve">Os aspectos da cultura podem abranger comportamentos, pressupostos, preconceitos, símbolos utilizados, formas de organização do trabalho, rituais, códigos ou formas de comunicação verbal ou escrita, linguagem empregada e outros, atuantes na organização. Esses aspectos podem ser funcionais – ajudam a organização implementar suas </t>
    </r>
    <r>
      <rPr>
        <i/>
        <sz val="9"/>
        <rFont val="Arial"/>
        <family val="2"/>
      </rPr>
      <t>estratégias</t>
    </r>
    <r>
      <rPr>
        <sz val="9"/>
        <rFont val="Arial"/>
        <family val="2"/>
      </rPr>
      <t xml:space="preserve"> e realizar sua missão – e disfuncionais – dificultam, tiram valor. Por exemplo: cultura paternalista, de punição, fiscalização, desconfiança, descompromisso com horários e prazos, conversa por e-mail ou informalidade excessiva podem influir negativamente. Já a cultura de planejamento, prevenção, trabalho em equipe, medição, resultados, comprometimento, humildade, comunicação falada, ética, respeito à diversidade, podem atuar favoravelmente. </t>
    </r>
  </si>
  <si>
    <t>Ativos intangíveis</t>
  </si>
  <si>
    <r>
      <t>Bens e direitos não palpáveis, reconhecidos pelas</t>
    </r>
    <r>
      <rPr>
        <i/>
        <sz val="9"/>
        <rFont val="Arial"/>
        <family val="2"/>
      </rPr>
      <t xml:space="preserve"> partes interessadas</t>
    </r>
    <r>
      <rPr>
        <sz val="9"/>
        <rFont val="Arial"/>
        <family val="2"/>
      </rPr>
      <t xml:space="preserve"> como “patrimônio” das </t>
    </r>
    <r>
      <rPr>
        <i/>
        <sz val="9"/>
        <rFont val="Arial"/>
        <family val="2"/>
      </rPr>
      <t>organizações</t>
    </r>
    <r>
      <rPr>
        <sz val="9"/>
        <rFont val="Arial"/>
        <family val="2"/>
      </rPr>
      <t xml:space="preserve"> e considerados relevantes para determinar-lhes o valor.
Exemplos: a marca, a cultura, os sistemas e processos da organização.</t>
    </r>
  </si>
  <si>
    <t>Ativos de infraestrutura operacional</t>
  </si>
  <si>
    <r>
      <t xml:space="preserve">Bens duráveis que tem valor real ou potencial para viabilizar a produção e entrega de </t>
    </r>
    <r>
      <rPr>
        <i/>
        <sz val="9"/>
        <rFont val="Arial"/>
        <family val="2"/>
      </rPr>
      <t xml:space="preserve">produtos </t>
    </r>
    <r>
      <rPr>
        <sz val="9"/>
        <rFont val="Arial"/>
        <family val="2"/>
      </rPr>
      <t xml:space="preserve">da </t>
    </r>
    <r>
      <rPr>
        <i/>
        <sz val="9"/>
        <rFont val="Arial"/>
        <family val="2"/>
      </rPr>
      <t>organização</t>
    </r>
    <r>
      <rPr>
        <sz val="9"/>
        <rFont val="Arial"/>
        <family val="2"/>
      </rPr>
      <t>. Ex,: redes de captação, adução, distribuição, coleta; estações de captação, tratamento,  bombeamento e preservação; e assemelhados.</t>
    </r>
  </si>
  <si>
    <t>Cadeia de suprimentos</t>
  </si>
  <si>
    <r>
      <t xml:space="preserve">Fluxo de informações e de </t>
    </r>
    <r>
      <rPr>
        <i/>
        <sz val="9"/>
        <rFont val="Arial"/>
        <family val="2"/>
      </rPr>
      <t>produtos</t>
    </r>
    <r>
      <rPr>
        <sz val="9"/>
        <rFont val="Arial"/>
        <family val="2"/>
      </rPr>
      <t xml:space="preserve">, que vão do </t>
    </r>
    <r>
      <rPr>
        <i/>
        <sz val="9"/>
        <rFont val="Arial"/>
        <family val="2"/>
      </rPr>
      <t xml:space="preserve">fornecedor </t>
    </r>
    <r>
      <rPr>
        <sz val="9"/>
        <rFont val="Arial"/>
        <family val="2"/>
      </rPr>
      <t>ao cliente, tendo como contrapartida os fluxos financeiros.</t>
    </r>
  </si>
  <si>
    <t>Cadeia de valor</t>
  </si>
  <si>
    <r>
      <t>Enlace de</t>
    </r>
    <r>
      <rPr>
        <i/>
        <sz val="9"/>
        <rFont val="Arial"/>
        <family val="2"/>
      </rPr>
      <t xml:space="preserve"> processos</t>
    </r>
    <r>
      <rPr>
        <sz val="9"/>
        <rFont val="Arial"/>
        <family val="2"/>
      </rPr>
      <t xml:space="preserve"> </t>
    </r>
    <r>
      <rPr>
        <i/>
        <sz val="9"/>
        <rFont val="Arial"/>
        <family val="2"/>
      </rPr>
      <t>primários</t>
    </r>
    <r>
      <rPr>
        <sz val="9"/>
        <rFont val="Arial"/>
        <family val="2"/>
      </rPr>
      <t xml:space="preserve"> e de </t>
    </r>
    <r>
      <rPr>
        <i/>
        <sz val="9"/>
        <rFont val="Arial"/>
        <family val="2"/>
      </rPr>
      <t xml:space="preserve">suporte </t>
    </r>
    <r>
      <rPr>
        <sz val="9"/>
        <rFont val="Arial"/>
        <family val="2"/>
      </rPr>
      <t>que realizam a missão da organização.</t>
    </r>
  </si>
  <si>
    <t>Capacitação de pessoas</t>
  </si>
  <si>
    <t>Ações de educação ou treinamento voltadas para tornar as pessoas capazes e autônomas para as funções que irão exercer.</t>
  </si>
  <si>
    <t>Cliente</t>
  </si>
  <si>
    <r>
      <t>Organização</t>
    </r>
    <r>
      <rPr>
        <sz val="9"/>
        <rFont val="Arial"/>
        <family val="2"/>
      </rPr>
      <t xml:space="preserve">, pessoa ou entidade que se beneficia de um produto, objeto da </t>
    </r>
    <r>
      <rPr>
        <i/>
        <sz val="9"/>
        <rFont val="Arial"/>
        <family val="2"/>
      </rPr>
      <t>organização</t>
    </r>
    <r>
      <rPr>
        <sz val="9"/>
        <rFont val="Arial"/>
        <family val="2"/>
      </rPr>
      <t>.</t>
    </r>
    <r>
      <rPr>
        <i/>
        <sz val="9"/>
        <rFont val="Arial"/>
        <family val="2"/>
      </rPr>
      <t xml:space="preserve">
Exemplos: consumidor, usuário, comprador, varejista, distribuidor ou representante (quando utiliza o produto da organização como insumo), beneficiário, sociedade (quando recebe produtos da organização) e outros.</t>
    </r>
  </si>
  <si>
    <t>Cliente-alvo</t>
  </si>
  <si>
    <r>
      <t xml:space="preserve">Organização, pessoa ou entidade que têm maior possibilidade de fazer negócio com a organização e se beneficiar de um produto, objeto da organização e que são foco de interesse para o fornecimento de </t>
    </r>
    <r>
      <rPr>
        <i/>
        <sz val="9"/>
        <rFont val="Arial"/>
        <family val="2"/>
      </rPr>
      <t>produtos</t>
    </r>
    <r>
      <rPr>
        <sz val="9"/>
        <rFont val="Arial"/>
        <family val="2"/>
      </rPr>
      <t xml:space="preserve">.  Pode abranger </t>
    </r>
    <r>
      <rPr>
        <i/>
        <sz val="9"/>
        <rFont val="Arial"/>
        <family val="2"/>
      </rPr>
      <t>cliente</t>
    </r>
    <r>
      <rPr>
        <sz val="9"/>
        <rFont val="Arial"/>
        <family val="2"/>
      </rPr>
      <t xml:space="preserve"> atual da organização, da concorrência, potencial e ex-</t>
    </r>
    <r>
      <rPr>
        <i/>
        <sz val="9"/>
        <rFont val="Arial"/>
        <family val="2"/>
      </rPr>
      <t>cliente</t>
    </r>
    <r>
      <rPr>
        <sz val="9"/>
        <rFont val="Arial"/>
        <family val="2"/>
      </rPr>
      <t>.</t>
    </r>
  </si>
  <si>
    <t>Competências essenciais </t>
  </si>
  <si>
    <t>Conjunto de habilidades e tecnologias que permite à organização oferecer um determinado benefício às partes interessadas. É identificada quando gera valor percebido pela parte interessada, provoca diferenciação com os concorrentes e possui capacidade de expansão. (Adapt. C.K.Pralahad)</t>
  </si>
  <si>
    <t>Confidencialidade das informações</t>
  </si>
  <si>
    <t>Aspecto relacionado à segurança das informações sobre as garantias necessárias para que somente pessoas autorizadas tenham acesso à informação. </t>
  </si>
  <si>
    <t>Continuidade do negócio</t>
  </si>
  <si>
    <t>Restauração tempestiva da capacidade gerencial e operacional ao regime de normalidade após eventos de ruptura. A normalidade é aquilo para o qual alguma atividade foi projetada, regulamentada ou historicamente obtida, o mínimo aceitável, o máximo tolerável de desempenho ou novo patamar de desempenho testado sem causar ruptura. </t>
  </si>
  <si>
    <t>Controlador </t>
  </si>
  <si>
    <t>Pessoa física ou jurídica que detém o controle da organização, seja em termos de cotas de capital, como, por exemplo, os acionistas, os proprietários ou sócios, seja em outros termos jurídicos, como, por exemplo, instituidores, mantenedores e patrocinadores.</t>
  </si>
  <si>
    <t>Desenvolvimento de pessoas</t>
  </si>
  <si>
    <t>Ações voltadas para ampliar a competência profissional.</t>
  </si>
  <si>
    <t>Desenvolvimento sustentável</t>
  </si>
  <si>
    <t>Ver Fundamento “Desenvolvimento Sustentável”</t>
  </si>
  <si>
    <t>Direção ou Dirigentes</t>
  </si>
  <si>
    <r>
      <t xml:space="preserve">Grupo de </t>
    </r>
    <r>
      <rPr>
        <sz val="9"/>
        <color rgb="FF0070C0"/>
        <rFont val="Arial"/>
        <family val="2"/>
      </rPr>
      <t>gestores responsáveis</t>
    </r>
    <r>
      <rPr>
        <sz val="9"/>
        <rFont val="Arial"/>
        <family val="2"/>
      </rPr>
      <t xml:space="preserve"> pelo desempenho da </t>
    </r>
    <r>
      <rPr>
        <i/>
        <sz val="9"/>
        <rFont val="Arial"/>
        <family val="2"/>
      </rPr>
      <t>organização</t>
    </r>
    <r>
      <rPr>
        <sz val="9"/>
        <rFont val="Arial"/>
        <family val="2"/>
      </rPr>
      <t>.</t>
    </r>
  </si>
  <si>
    <t>Ecoeficiência</t>
  </si>
  <si>
    <t>Propriedade de um produto ou processo causar o mínimo impacto adverso ou o máximo benefício ambiental possível em decorrência de sua existência.</t>
  </si>
  <si>
    <t>Economia circular</t>
  </si>
  <si>
    <t>Modelo econômico em que o emprego de insumos e matérias-primas na produção de bens e serviços privilegia o reaproveitamento e em que a geração de subprodutos no ciclo de sua vida, até o seu descarte ou descontinuidade, favorece a sua durabilidade e reutilização, própria ou por parceiros de desenvolvimento, numa cadeia de suprimentos desconectada, ao máximo, da exploração de recursos naturais. Requer projetos de produtos do “berço ao berço", geralmente com busca de parceiros na cadeia circular, buscando ecoeficiência absoluta.</t>
  </si>
  <si>
    <t>Efetividade </t>
  </si>
  <si>
    <t>Alcance eficaz de objetivo por meio de emprego eficiente de recursos.</t>
  </si>
  <si>
    <t>ESG</t>
  </si>
  <si>
    <r>
      <t xml:space="preserve">Significa “Environmental, Social &amp; Governance”, ou em português, “Ambiental, Social e Governança”. Sigla originada no documento “Who Cares Win” (de 2004), no âmbito do Pacto Global da ONU (de 2000). Ele emitiu as primeiras recomendações para os atores do mercado financeiro atuarem para o desenvolvimento sustentável, por eles próprios e a convite da ONU, incluindo gestores de fundos de investimento, corretoras de valores, empresas de capital aberto e outros. Com o advento das demandas dos Objetivos do Desenvolvimento Sustentável (ODS, de 2015), recentes Conferências das Partes sobre o Clima (COP26 e 27, de 2021 e 2022) e novas estratégias dos Princípios do Investimento Responsável (UNPRI, de 2005), emerge uma 2a. geração de ESG, em que o desafio inclui a negativação de carbono, consumo responsável, </t>
    </r>
    <r>
      <rPr>
        <i/>
        <sz val="9"/>
        <rFont val="Arial"/>
        <family val="2"/>
      </rPr>
      <t>economia circular</t>
    </r>
    <r>
      <rPr>
        <sz val="9"/>
        <rFont val="Arial"/>
        <family val="2"/>
      </rPr>
      <t>, segurança socioambiental, ações afirmativas socioambientais externas etc., para qualquer tipo de organização.</t>
    </r>
  </si>
  <si>
    <t>Estratégia</t>
  </si>
  <si>
    <t>Conjunto de ideias articuladas a partir da análise do ambiente e avaliação de resultados potenciais, que estabelece formas de uma organização agir para alcançar objetivos.</t>
  </si>
  <si>
    <t>Externalidades</t>
  </si>
  <si>
    <t>Efeitos sociais, ambientais e econômicos que envolvem a imposição involuntária de custos ou de benefícios sobre terceiros, sem que estes tenham a oportunidade de participar da decisão. Há dois tipos: a negativa, por exemplo, a poluição do ar causada pela organização, e a positiva, por exemplo, o estímulo à economia regional pela operação dessa organização.</t>
  </si>
  <si>
    <t>Força de trabalho</t>
  </si>
  <si>
    <r>
      <t xml:space="preserve">Profissionais que trabalham sob a coordenação direta da </t>
    </r>
    <r>
      <rPr>
        <i/>
        <sz val="9"/>
        <rFont val="Arial"/>
        <family val="2"/>
      </rPr>
      <t>organização</t>
    </r>
    <r>
      <rPr>
        <sz val="9"/>
        <rFont val="Arial"/>
        <family val="2"/>
      </rPr>
      <t>. Ex.: empregados, temporários, autônomos, voluntários, terceiros e outros.</t>
    </r>
  </si>
  <si>
    <t>Fornecedor</t>
  </si>
  <si>
    <r>
      <t>Organização</t>
    </r>
    <r>
      <rPr>
        <sz val="9"/>
        <rFont val="Arial"/>
        <family val="2"/>
      </rPr>
      <t xml:space="preserve">, pessoa ou entidade que fornece um </t>
    </r>
    <r>
      <rPr>
        <i/>
        <sz val="9"/>
        <rFont val="Arial"/>
        <family val="2"/>
      </rPr>
      <t xml:space="preserve">produto </t>
    </r>
    <r>
      <rPr>
        <sz val="9"/>
        <rFont val="Arial"/>
        <family val="2"/>
      </rPr>
      <t xml:space="preserve">para a </t>
    </r>
    <r>
      <rPr>
        <i/>
        <sz val="9"/>
        <rFont val="Arial"/>
        <family val="2"/>
      </rPr>
      <t>organização</t>
    </r>
    <r>
      <rPr>
        <b/>
        <sz val="9"/>
        <rFont val="Arial"/>
        <family val="2"/>
      </rPr>
      <t xml:space="preserve">. </t>
    </r>
    <r>
      <rPr>
        <sz val="9"/>
        <rFont val="Arial"/>
        <family val="2"/>
      </rPr>
      <t xml:space="preserve">Exemplos: produtor, distribuidor ou representante (quando fornece serviço de comercialização), varejista, comerciante, prestador de serviço, profissional liberal, sociedade (quando fornece </t>
    </r>
    <r>
      <rPr>
        <i/>
        <sz val="9"/>
        <rFont val="Arial"/>
        <family val="2"/>
      </rPr>
      <t>produtos</t>
    </r>
    <r>
      <rPr>
        <sz val="9"/>
        <rFont val="Arial"/>
        <family val="2"/>
      </rPr>
      <t xml:space="preserve"> da coletividade).</t>
    </r>
  </si>
  <si>
    <t>Gêmeo digital</t>
  </si>
  <si>
    <t>São reproduções do processo implementadas em ambiente informatizado que o simula dinamicamente, para observar seu comportamento em eventos determinísticos (ex.: alteração de volumes, capacidades ou potência planejados)  e estocásticos (ex.: interrupção inesperada, erros operacionais, variações imprevistas). O seu emprego permite avaliar a qualidade de projetos antes de sua implementação.</t>
  </si>
  <si>
    <t>Governança</t>
  </si>
  <si>
    <r>
      <t xml:space="preserve">É o sistema </t>
    </r>
    <r>
      <rPr>
        <sz val="9"/>
        <color rgb="FF0070C0"/>
        <rFont val="Arial"/>
        <family val="2"/>
      </rPr>
      <t>formado por princípios, regras, estruturas e processos pelo qual as organizações são dirigidas e monitoradas, com vistas à geração de valor sustentável para a organização, para seus sócios, mantenedores ou instituidores e para a sociedade em geral. Esse sistema baliza a atuação dos seus agentes e demais indivíduos de uma organização na busca pelo equilíbrio entre os interesses de todas as partes, contribuindo positivamente para a sociedade e para o meio ambiente.</t>
    </r>
  </si>
  <si>
    <t>I.A. (Inteligência Artificial)</t>
  </si>
  <si>
    <t>Ramo da ciência da computação, que desenvolve sistemas e algoritmos para realizar tarefas associadas à inteligência humana, como compreensão de linguagem natural, tradução, aprendizado, percepção, reconhecimento de voz e imagem, criação, tomada de decisão e resolução de problemas complexos. A abordagem generativa da I.A. tem a  capacidade de aprender padrões complexos de comportamento a partir de uma base de dados. Com uma técnica chamada aprendizagem de máquina, a I.A. generativa consegue reproduzir conteúdos após receber treinamento.. Com a absorção de muitos dados, a I.A. é capaz de gerar novas informações de maneira original e até única para cada interação. Essa técnica permite ir além do aprendizado convencional, possibilitando uma auto-evolução sem necessidade de programação humana.</t>
  </si>
  <si>
    <t>Indicadores</t>
  </si>
  <si>
    <t>Significando simplificadamente “indicadores de desempenho”, são medições relativizadas ou fatos relevantes, que expressam o desempenho, direta ou indiretamente, de um produto ou processo, em termos de eficiência, eficácia, efetividade ou nível de satisfação, viabilizando a tomada de decisão factual.  Na forma de medições relativizadas, permitem avaliar a evolução do desempenho ao longo do tempo e o alcance de metas. Na presença de referenciais comparativos pertinentes, os indicadores permitem avaliar a competitividade. Na presença de requisitos de partes interessadas, os indicadores permitem avaliar o atendimento de compromissos firmados. Exemplos de medições relativizadas: margem líquida, taxa de gravidade de acidentes, índice de emissões de gases do efeito estufa, índice de satisfação de clientes, índice de satisfação da força de trabalho. Exemplo de fatos relevantes: certificações obtidas, premiações independentes, relatórios de avaliação ou auditoria, pareceres de especialistas, pesquisas e outros, cuja favorabilidade ou não pode ser extraída após análise das informações, com ou sem apoio de I.A.</t>
  </si>
  <si>
    <t>Integridade da informação</t>
  </si>
  <si>
    <t>Aspecto relacionado à segurança das informações, que trata da salvaguarda, exatidão e completeza da informação recebida ou gerada e dos métodos de processamento, incluindo quando envolver uso de I.A.</t>
  </si>
  <si>
    <t>Inovação</t>
  </si>
  <si>
    <r>
      <t xml:space="preserve">Características originais, diferenciadas ou incomuns no setor, desenvolvidas e incorporadas em </t>
    </r>
    <r>
      <rPr>
        <i/>
        <sz val="9"/>
        <rFont val="Arial"/>
        <family val="2"/>
      </rPr>
      <t>produtos</t>
    </r>
    <r>
      <rPr>
        <sz val="9"/>
        <rFont val="Arial"/>
        <family val="2"/>
      </rPr>
      <t xml:space="preserve"> e processos da </t>
    </r>
    <r>
      <rPr>
        <i/>
        <sz val="9"/>
        <rFont val="Arial"/>
        <family val="2"/>
      </rPr>
      <t>organização</t>
    </r>
    <r>
      <rPr>
        <sz val="9"/>
        <rFont val="Arial"/>
        <family val="2"/>
      </rPr>
      <t>, que geram valor percebido pelas</t>
    </r>
    <r>
      <rPr>
        <i/>
        <sz val="9"/>
        <rFont val="Arial"/>
        <family val="2"/>
      </rPr>
      <t xml:space="preserve"> partes interessadas</t>
    </r>
    <r>
      <rPr>
        <sz val="9"/>
        <rFont val="Arial"/>
        <family val="2"/>
      </rPr>
      <t>.</t>
    </r>
  </si>
  <si>
    <t>Macroambiente</t>
  </si>
  <si>
    <r>
      <t xml:space="preserve">Questões amplas do universo econômico, social e político, e sua influência no </t>
    </r>
    <r>
      <rPr>
        <i/>
        <sz val="9"/>
        <rFont val="Arial"/>
        <family val="2"/>
      </rPr>
      <t>setor de atuação</t>
    </r>
    <r>
      <rPr>
        <sz val="9"/>
        <rFont val="Arial"/>
        <family val="2"/>
      </rPr>
      <t xml:space="preserve"> analisado. São questões que as organizações, individualmente, pouco conseguem influenciar, mas que as influenciam diretamente e ao seu </t>
    </r>
    <r>
      <rPr>
        <i/>
        <sz val="9"/>
        <rFont val="Arial"/>
        <family val="2"/>
      </rPr>
      <t>setor de atuação</t>
    </r>
    <r>
      <rPr>
        <sz val="9"/>
        <rFont val="Arial"/>
        <family val="2"/>
      </rPr>
      <t>. </t>
    </r>
  </si>
  <si>
    <t>Mercado </t>
  </si>
  <si>
    <r>
      <t>Ambiente onde ocorre a competição de agentes econômicos por</t>
    </r>
    <r>
      <rPr>
        <i/>
        <sz val="9"/>
        <rFont val="Arial"/>
        <family val="2"/>
      </rPr>
      <t xml:space="preserve"> clientes</t>
    </r>
    <r>
      <rPr>
        <sz val="9"/>
        <rFont val="Arial"/>
        <family val="2"/>
      </rPr>
      <t>, oportunidades ou recursos de qualquer natureza. Exemplos: mercado de consumidores, mercado financeiro, mercado acionário, mercado de capitais, mercado de trabalho, mercado de fornecimento, mercado de crédito de carbono, mercado de oportunidades de atuação social etc.</t>
    </r>
  </si>
  <si>
    <t>Metas</t>
  </si>
  <si>
    <t>Níveis de desempenho projetados para determinado período de tempo.</t>
  </si>
  <si>
    <t>Mídia Social</t>
  </si>
  <si>
    <t>Plataforma online que permite que os proprietários e usuários criem, compartilhem e interajam com conteúdo gerado por eles mesmos e por outros usuários.</t>
  </si>
  <si>
    <t>Missão</t>
  </si>
  <si>
    <r>
      <t xml:space="preserve">Razão de ser de uma </t>
    </r>
    <r>
      <rPr>
        <i/>
        <sz val="9"/>
        <rFont val="Arial"/>
        <family val="2"/>
      </rPr>
      <t>organização</t>
    </r>
    <r>
      <rPr>
        <sz val="9"/>
        <rFont val="Arial"/>
        <family val="2"/>
      </rPr>
      <t>. Compreende as necessidades sociais a que ela atende e seu foco fundamental de atividades.</t>
    </r>
  </si>
  <si>
    <t>Modelo de gestão </t>
  </si>
  <si>
    <t>Representação abstrata dos componentes do sistema de gestão de uma organização.</t>
  </si>
  <si>
    <t>Modelo de negócio</t>
  </si>
  <si>
    <r>
      <t xml:space="preserve">Concepção estratégica da forma de atuação da </t>
    </r>
    <r>
      <rPr>
        <i/>
        <sz val="9"/>
        <rFont val="Arial"/>
        <family val="2"/>
      </rPr>
      <t>organização</t>
    </r>
    <r>
      <rPr>
        <sz val="9"/>
        <rFont val="Arial"/>
        <family val="2"/>
      </rPr>
      <t xml:space="preserve">. Pode compreender definições como </t>
    </r>
    <r>
      <rPr>
        <i/>
        <sz val="9"/>
        <rFont val="Arial"/>
        <family val="2"/>
      </rPr>
      <t>produtos</t>
    </r>
    <r>
      <rPr>
        <sz val="9"/>
        <rFont val="Arial"/>
        <family val="2"/>
      </rPr>
      <t xml:space="preserve"> a fabricar, local de instalação das suas unidades, seleção de mercados-alvo e </t>
    </r>
    <r>
      <rPr>
        <i/>
        <sz val="9"/>
        <rFont val="Arial"/>
        <family val="2"/>
      </rPr>
      <t>clientes-alvo</t>
    </r>
    <r>
      <rPr>
        <sz val="9"/>
        <rFont val="Arial"/>
        <family val="2"/>
      </rPr>
      <t>, escolha de parceiros, forma de relacionamento com fornecedores e distribuidores e outros aspectos considerados relevantes para o sucesso do negócio.</t>
    </r>
  </si>
  <si>
    <t>Objetivos de Desenvolvimento Sustentável das Nações Unidas (ODS)</t>
  </si>
  <si>
    <t>17 objetivos de desenvolvimento sustentável estabelecidos em 2015 pelas Nações Unidas para serem buscados pelos países membros até o ano de 2030. </t>
  </si>
  <si>
    <t>Organização</t>
  </si>
  <si>
    <t>Companhia, corporação, firma, órgão, instituição ou empresa, ou uma unidade destas, pública ou privada, sociedade anônima, limitada ou com outra forma estatutária, que tem funções e estruturas administrativas próprias e autônomas, no setor público ou privado, com ou sem finalidade de lucro, de porte pequeno, médio ou grande.</t>
  </si>
  <si>
    <t>Organização do trabalho</t>
  </si>
  <si>
    <t>Divisão do trabalho entre unidades, equipes e funções, permanentes ou temporárias, incluindo a definição das suas atribuições e vínculos.</t>
  </si>
  <si>
    <t>Padrão gerencial</t>
  </si>
  <si>
    <r>
      <t>Regras de funcionamento de</t>
    </r>
    <r>
      <rPr>
        <i/>
        <sz val="9"/>
        <rFont val="Arial"/>
        <family val="2"/>
      </rPr>
      <t xml:space="preserve"> práticas de gestão</t>
    </r>
    <r>
      <rPr>
        <sz val="9"/>
        <rFont val="Arial"/>
        <family val="2"/>
      </rPr>
      <t>. Essas regras podem ser encontradas na forma de políticas, diretrizes, princípios, normas internas, procedimentos, normas, rotinas, roteiros, modelos, listas de verificação, fluxogramas, imagens, comportamentos coletivos aprendidos ou qualquer acervo que permita orientar a execução das práticas.</t>
    </r>
  </si>
  <si>
    <t>Parcerias</t>
  </si>
  <si>
    <t>Alianças preferenciais ou estratégicas, com vantagens especiais para as partes envolvidas, geralmente associadas a compromissos em torno de condições de fornecimento ou de colocação de produtos, para melhorar o desempenho da organização.</t>
  </si>
  <si>
    <t>Partes interessadas</t>
  </si>
  <si>
    <r>
      <t>Organização</t>
    </r>
    <r>
      <rPr>
        <sz val="9"/>
        <rFont val="Arial"/>
        <family val="2"/>
      </rPr>
      <t xml:space="preserve">, pessoa ou entidade que afeta ou é afetada pelas atividades de uma </t>
    </r>
    <r>
      <rPr>
        <i/>
        <sz val="9"/>
        <rFont val="Arial"/>
        <family val="2"/>
      </rPr>
      <t>organização</t>
    </r>
    <r>
      <rPr>
        <sz val="9"/>
        <rFont val="Arial"/>
        <family val="2"/>
      </rPr>
      <t>, com interesse comum no seu desempenho. A maioria das organizações apresenta as seguintes classes de</t>
    </r>
    <r>
      <rPr>
        <i/>
        <sz val="9"/>
        <rFont val="Arial"/>
        <family val="2"/>
      </rPr>
      <t xml:space="preserve"> partes interessadas</t>
    </r>
    <r>
      <rPr>
        <sz val="9"/>
        <rFont val="Arial"/>
        <family val="2"/>
      </rPr>
      <t>:</t>
    </r>
    <r>
      <rPr>
        <i/>
        <sz val="9"/>
        <rFont val="Arial"/>
        <family val="2"/>
      </rPr>
      <t xml:space="preserve"> clientes</t>
    </r>
    <r>
      <rPr>
        <sz val="9"/>
        <rFont val="Arial"/>
        <family val="2"/>
      </rPr>
      <t xml:space="preserve">; </t>
    </r>
    <r>
      <rPr>
        <i/>
        <sz val="9"/>
        <rFont val="Arial"/>
        <family val="2"/>
      </rPr>
      <t>força de trabalho</t>
    </r>
    <r>
      <rPr>
        <sz val="9"/>
        <rFont val="Arial"/>
        <family val="2"/>
      </rPr>
      <t>; acionistas; mantenedores ou proprietários; fornecedores e sociedade. A quantidade e a denominação das</t>
    </r>
    <r>
      <rPr>
        <i/>
        <sz val="9"/>
        <rFont val="Arial"/>
        <family val="2"/>
      </rPr>
      <t xml:space="preserve"> partes interessadas</t>
    </r>
    <r>
      <rPr>
        <sz val="9"/>
        <rFont val="Arial"/>
        <family val="2"/>
      </rPr>
      <t xml:space="preserve"> podem variar, em razão do perfil da </t>
    </r>
    <r>
      <rPr>
        <i/>
        <sz val="9"/>
        <rFont val="Arial"/>
        <family val="2"/>
      </rPr>
      <t>organização</t>
    </r>
    <r>
      <rPr>
        <sz val="9"/>
        <rFont val="Arial"/>
        <family val="2"/>
      </rPr>
      <t>.</t>
    </r>
  </si>
  <si>
    <t>Planejamento tributário</t>
  </si>
  <si>
    <t>Gerenciamento do recolhimento de tributos, incluindo o estudo de maneiras de reduzir legalmente a carga tributária que incide sobre a organização.</t>
  </si>
  <si>
    <t>Prática de gestão </t>
  </si>
  <si>
    <r>
      <t>Processo gerencial,</t>
    </r>
    <r>
      <rPr>
        <sz val="9"/>
        <rFont val="Arial"/>
        <family val="2"/>
      </rPr>
      <t xml:space="preserve"> como efetivamente implementado pela </t>
    </r>
    <r>
      <rPr>
        <i/>
        <sz val="9"/>
        <rFont val="Arial"/>
        <family val="2"/>
      </rPr>
      <t>organização</t>
    </r>
    <r>
      <rPr>
        <sz val="9"/>
        <rFont val="Arial"/>
        <family val="2"/>
      </rPr>
      <t>.</t>
    </r>
  </si>
  <si>
    <t>Predisposição da sociedade</t>
  </si>
  <si>
    <r>
      <t xml:space="preserve">Interesses latentes, não manifestos, de grupos sociais. Exemplos: preferência por </t>
    </r>
    <r>
      <rPr>
        <i/>
        <sz val="9"/>
        <rFont val="Arial"/>
        <family val="2"/>
      </rPr>
      <t>mídias sociais,</t>
    </r>
    <r>
      <rPr>
        <sz val="9"/>
        <rFont val="Arial"/>
        <family val="2"/>
      </rPr>
      <t xml:space="preserve"> canais de acesso digitais, atuação ética e transparente, organizações social e ambientalmente responsáveis e participação na vida comunitária. </t>
    </r>
  </si>
  <si>
    <t>Predisposição de clientes ou do mercado</t>
  </si>
  <si>
    <r>
      <t xml:space="preserve">Interesses latentes, não manifestos, por esses grupos. Exemplos: preferência por inovações, novas tecnologias, </t>
    </r>
    <r>
      <rPr>
        <i/>
        <sz val="9"/>
        <rFont val="Arial"/>
        <family val="2"/>
      </rPr>
      <t>produtos</t>
    </r>
    <r>
      <rPr>
        <sz val="9"/>
        <rFont val="Arial"/>
        <family val="2"/>
      </rPr>
      <t xml:space="preserve"> sustentáveis, canais de acesso digitais, marcas social e ambientalmente responsáveis e participação na vida comunitária local.</t>
    </r>
  </si>
  <si>
    <t>Processo</t>
  </si>
  <si>
    <r>
      <t xml:space="preserve">Conjunto de atividades inter-relacionadas ou interativas que transformam insumos (entradas) em </t>
    </r>
    <r>
      <rPr>
        <i/>
        <sz val="9"/>
        <rFont val="Arial"/>
        <family val="2"/>
      </rPr>
      <t>produtos</t>
    </r>
    <r>
      <rPr>
        <sz val="9"/>
        <rFont val="Arial"/>
        <family val="2"/>
      </rPr>
      <t xml:space="preserve"> (saídas).
</t>
    </r>
    <r>
      <rPr>
        <b/>
        <sz val="9"/>
        <rFont val="Arial"/>
        <family val="2"/>
      </rPr>
      <t>Notas</t>
    </r>
    <r>
      <rPr>
        <sz val="9"/>
        <rFont val="Arial"/>
        <family val="2"/>
      </rPr>
      <t xml:space="preserve">: a) os insumos (entradas) para um processo são geralmente produtos (saídas) de outro processo; e b) os processos em uma </t>
    </r>
    <r>
      <rPr>
        <i/>
        <sz val="9"/>
        <rFont val="Arial"/>
        <family val="2"/>
      </rPr>
      <t>organização</t>
    </r>
    <r>
      <rPr>
        <sz val="9"/>
        <rFont val="Arial"/>
        <family val="2"/>
      </rPr>
      <t xml:space="preserve"> são geralmente planejados e realizados, sob condições controladas para agregar valor.</t>
    </r>
  </si>
  <si>
    <t>Processos de suporte </t>
  </si>
  <si>
    <r>
      <t>Processos que sustentam, com suas operações, os</t>
    </r>
    <r>
      <rPr>
        <i/>
        <sz val="9"/>
        <rFont val="Arial"/>
        <family val="2"/>
      </rPr>
      <t xml:space="preserve"> processos primários</t>
    </r>
    <r>
      <rPr>
        <sz val="9"/>
        <rFont val="Arial"/>
        <family val="2"/>
      </rPr>
      <t xml:space="preserve"> e a si mesmos, fornecendo bens e serviços.
</t>
    </r>
    <r>
      <rPr>
        <b/>
        <sz val="9"/>
        <rFont val="Arial"/>
        <family val="2"/>
      </rPr>
      <t>Nota</t>
    </r>
    <r>
      <rPr>
        <sz val="9"/>
        <rFont val="Arial"/>
        <family val="2"/>
      </rPr>
      <t xml:space="preserve">: Os processos de suporte também são conhecidos como processos de apoio. Há casos em que processos de gestão são denominados </t>
    </r>
    <r>
      <rPr>
        <i/>
        <sz val="9"/>
        <rFont val="Arial"/>
        <family val="2"/>
      </rPr>
      <t>processos de suporte</t>
    </r>
    <r>
      <rPr>
        <sz val="9"/>
        <rFont val="Arial"/>
        <family val="2"/>
      </rPr>
      <t xml:space="preserve"> ou de apoio em algumas organizações. No entanto, os </t>
    </r>
    <r>
      <rPr>
        <i/>
        <sz val="9"/>
        <rFont val="Arial"/>
        <family val="2"/>
      </rPr>
      <t>processos de suporte</t>
    </r>
    <r>
      <rPr>
        <sz val="9"/>
        <rFont val="Arial"/>
        <family val="2"/>
      </rPr>
      <t xml:space="preserve"> considerados neste documento são os de natureza operacional.</t>
    </r>
  </si>
  <si>
    <t>Processos primários </t>
  </si>
  <si>
    <r>
      <t>Processos que, com suas operações, agregam valor diretamente para os</t>
    </r>
    <r>
      <rPr>
        <i/>
        <sz val="9"/>
        <rFont val="Arial"/>
        <family val="2"/>
      </rPr>
      <t xml:space="preserve"> clientes</t>
    </r>
    <r>
      <rPr>
        <sz val="9"/>
        <rFont val="Arial"/>
        <family val="2"/>
      </rPr>
      <t xml:space="preserve">. Estão envolvidos na geração do produto e na sua venda ou transferência para o cliente, bem como na assistência após a venda e disposição final.
</t>
    </r>
    <r>
      <rPr>
        <b/>
        <sz val="9"/>
        <rFont val="Arial"/>
        <family val="2"/>
      </rPr>
      <t>Nota</t>
    </r>
    <r>
      <rPr>
        <sz val="9"/>
        <rFont val="Arial"/>
        <family val="2"/>
      </rPr>
      <t xml:space="preserve">: Os </t>
    </r>
    <r>
      <rPr>
        <i/>
        <sz val="9"/>
        <rFont val="Arial"/>
        <family val="2"/>
      </rPr>
      <t>processos primários</t>
    </r>
    <r>
      <rPr>
        <sz val="9"/>
        <rFont val="Arial"/>
        <family val="2"/>
      </rPr>
      <t xml:space="preserve"> são conhecidos, também, como processos-fim, processos principais do negócio ou processos finalísticos. </t>
    </r>
  </si>
  <si>
    <t>Processo gerencial (ou de gestão)</t>
  </si>
  <si>
    <r>
      <t xml:space="preserve">Processo de natureza gerencial, não operacional; processos requeridos nos Critérios de 1 a 7.
</t>
    </r>
    <r>
      <rPr>
        <b/>
        <sz val="9"/>
        <rFont val="Arial"/>
        <family val="2"/>
      </rPr>
      <t>Nota</t>
    </r>
    <r>
      <rPr>
        <sz val="9"/>
        <rFont val="Arial"/>
        <family val="2"/>
      </rPr>
      <t>: Ver, também, “Prática de gestão”.</t>
    </r>
  </si>
  <si>
    <t>Produto</t>
  </si>
  <si>
    <t>Resultado de atividades ou processos. Considerar que:
- o termo “produto” pode incluir mercadorias, serviços, soluções, ferramentas, materiais, equipamentos, informações etc., ou uma combinação desses elementos;
- um produto pode ser tangível (por exemplo, mercadorias ou serviços) ou intangível (por exemplo: conhecimento ou conceito), ou uma combinação; e
- um produto pode ser intencional (por exemplo, para colocar no mercado ou para consumo interno) ou não intencional (por exemplo: um subproduto indesejável);</t>
  </si>
  <si>
    <t>Qualidade</t>
  </si>
  <si>
    <r>
      <t xml:space="preserve">Totalidade de características de uma entidade (atividade, </t>
    </r>
    <r>
      <rPr>
        <i/>
        <sz val="9"/>
        <rFont val="Arial"/>
        <family val="2"/>
      </rPr>
      <t>processo</t>
    </r>
    <r>
      <rPr>
        <sz val="9"/>
        <rFont val="Arial"/>
        <family val="2"/>
      </rPr>
      <t xml:space="preserve"> ou produto), </t>
    </r>
    <r>
      <rPr>
        <i/>
        <sz val="9"/>
        <rFont val="Arial"/>
        <family val="2"/>
      </rPr>
      <t>organização</t>
    </r>
    <r>
      <rPr>
        <sz val="9"/>
        <rFont val="Arial"/>
        <family val="2"/>
      </rPr>
      <t xml:space="preserve">, ou uma combinação destes, que lhes confere capacidade de satisfazer as necessidades explícitas e implícitas dos </t>
    </r>
    <r>
      <rPr>
        <i/>
        <sz val="9"/>
        <rFont val="Arial"/>
        <family val="2"/>
      </rPr>
      <t>clientes</t>
    </r>
    <r>
      <rPr>
        <sz val="9"/>
        <rFont val="Arial"/>
        <family val="2"/>
      </rPr>
      <t xml:space="preserve"> e demais </t>
    </r>
    <r>
      <rPr>
        <i/>
        <sz val="9"/>
        <rFont val="Arial"/>
        <family val="2"/>
      </rPr>
      <t>partes interessadas</t>
    </r>
    <r>
      <rPr>
        <sz val="9"/>
        <rFont val="Arial"/>
        <family val="2"/>
      </rPr>
      <t>. </t>
    </r>
  </si>
  <si>
    <t>Rede </t>
  </si>
  <si>
    <t>Conjunto de organizações, pessoas ou elementos interligados com objetivo ou interesse comum.</t>
  </si>
  <si>
    <t>Referencial comparativo pertinente</t>
  </si>
  <si>
    <r>
      <t xml:space="preserve">Informação numérica, considerada como uma referência apropriada para permitir avaliar o nível de competitividade de um resultado alcançado, no mercado ou no </t>
    </r>
    <r>
      <rPr>
        <i/>
        <sz val="9"/>
        <rFont val="Arial"/>
        <family val="2"/>
      </rPr>
      <t>setor de atuação</t>
    </r>
    <r>
      <rPr>
        <sz val="9"/>
        <rFont val="Arial"/>
        <family val="2"/>
      </rPr>
      <t>, ou para apoiar o estabelecimento de metas, considerando as</t>
    </r>
    <r>
      <rPr>
        <i/>
        <sz val="9"/>
        <rFont val="Arial"/>
        <family val="2"/>
      </rPr>
      <t xml:space="preserve"> estratégias</t>
    </r>
    <r>
      <rPr>
        <sz val="9"/>
        <rFont val="Arial"/>
        <family val="2"/>
      </rPr>
      <t xml:space="preserve"> da </t>
    </r>
    <r>
      <rPr>
        <i/>
        <sz val="9"/>
        <rFont val="Arial"/>
        <family val="2"/>
      </rPr>
      <t>organização</t>
    </r>
    <r>
      <rPr>
        <sz val="9"/>
        <rFont val="Arial"/>
        <family val="2"/>
      </rPr>
      <t xml:space="preserve">.
</t>
    </r>
    <r>
      <rPr>
        <b/>
        <sz val="9"/>
        <rFont val="Arial"/>
        <family val="2"/>
      </rPr>
      <t>Nota</t>
    </r>
    <r>
      <rPr>
        <sz val="9"/>
        <rFont val="Arial"/>
        <family val="2"/>
      </rPr>
      <t xml:space="preserve">: referenciais comparativos pertinentes podem incluir resultados de concorrentes, de organizações consideradas uma referência no tema avaliado, de organizações congêneres em mercados mais exigentes ou mais desenvolvidos, índices ou médias relevantes, resultados de vice-líderes ou outros líderes e quadrantes de excelência mundial (quando se deseja demonstrar liderança ou nível de excelência), levantados no mercado, no </t>
    </r>
    <r>
      <rPr>
        <i/>
        <sz val="9"/>
        <rFont val="Arial"/>
        <family val="2"/>
      </rPr>
      <t>setor de atuação</t>
    </r>
    <r>
      <rPr>
        <sz val="9"/>
        <rFont val="Arial"/>
        <family val="2"/>
      </rPr>
      <t xml:space="preserve"> ou fora dele, parâmetros legais ou regulamentares para monopólios naturais quando sua existência pode compensar a falta de competição, parâmetros científicos determinantes de bom nível de desempenho ou qualquer outra informação que permita avaliar se o nível de um resultado é competitivo, está na liderança ou é referencial de excelência. </t>
    </r>
  </si>
  <si>
    <t>Referencial de excelência </t>
  </si>
  <si>
    <r>
      <t xml:space="preserve">Resultado, </t>
    </r>
    <r>
      <rPr>
        <i/>
        <sz val="9"/>
        <rFont val="Arial"/>
        <family val="2"/>
      </rPr>
      <t>organização</t>
    </r>
    <r>
      <rPr>
        <sz val="9"/>
        <rFont val="Arial"/>
        <family val="2"/>
      </rPr>
      <t xml:space="preserve">, </t>
    </r>
    <r>
      <rPr>
        <i/>
        <sz val="9"/>
        <rFont val="Arial"/>
        <family val="2"/>
      </rPr>
      <t xml:space="preserve">processo </t>
    </r>
    <r>
      <rPr>
        <sz val="9"/>
        <rFont val="Arial"/>
        <family val="2"/>
      </rPr>
      <t xml:space="preserve">ou </t>
    </r>
    <r>
      <rPr>
        <i/>
        <sz val="9"/>
        <rFont val="Arial"/>
        <family val="2"/>
      </rPr>
      <t xml:space="preserve">produto </t>
    </r>
    <r>
      <rPr>
        <sz val="9"/>
        <rFont val="Arial"/>
        <family val="2"/>
      </rPr>
      <t>considerado o melhor do mundo em uma classe.</t>
    </r>
  </si>
  <si>
    <t>Referencial de excelência teórico</t>
  </si>
  <si>
    <t>Zero-erro ou qualquer outro resultado estabelecido conceitual ou cientificamente como o melhor possível em uma classe, independentemente do custo. </t>
  </si>
  <si>
    <t>Regulador(es)</t>
  </si>
  <si>
    <t xml:space="preserve">Organização que emite regulamentos e fiscaliza seu cumprimento na sua esfera de atuação legal. </t>
  </si>
  <si>
    <t>Requisito de parte interessada (RPI)</t>
  </si>
  <si>
    <r>
      <t>Tradução mensurável de necessidade ou expectativa, implícita ou explícita, de</t>
    </r>
    <r>
      <rPr>
        <i/>
        <sz val="9"/>
        <rFont val="Arial"/>
        <family val="2"/>
      </rPr>
      <t xml:space="preserve"> parte interessada</t>
    </r>
    <r>
      <rPr>
        <sz val="9"/>
        <rFont val="Arial"/>
        <family val="2"/>
      </rPr>
      <t xml:space="preserve">. Também chamados de requisitos de desempenho relativos às partes interessadas, podem ser expressos por meio de mecanismos que permitam a sua avaliação precisa, como por exemplo: metas compromissadas a serem atingidas ou superadas, limites regulamentares ou normativos, alcance de determinados níveis de competitividade, de liderança ou de excelência, evolução esperada em resultados e outros.
</t>
    </r>
    <r>
      <rPr>
        <b/>
        <sz val="9"/>
        <rFont val="Arial"/>
        <family val="2"/>
      </rPr>
      <t>Nota</t>
    </r>
    <r>
      <rPr>
        <sz val="9"/>
        <rFont val="Arial"/>
        <family val="2"/>
      </rPr>
      <t xml:space="preserve">: O nível de desempenho associado a requisito de </t>
    </r>
    <r>
      <rPr>
        <i/>
        <sz val="9"/>
        <rFont val="Arial"/>
        <family val="2"/>
      </rPr>
      <t>parte interessada</t>
    </r>
    <r>
      <rPr>
        <sz val="9"/>
        <rFont val="Arial"/>
        <family val="2"/>
      </rPr>
      <t xml:space="preserve"> é aquele estabelecido para monitorar o atendimento ao requisito, incluindo, por exemplo, meta associada ou expectativa de evolução.
O nível de um requisito desse tipo pode ser estabelecido por </t>
    </r>
    <r>
      <rPr>
        <i/>
        <sz val="9"/>
        <rFont val="Arial"/>
        <family val="2"/>
      </rPr>
      <t>parte interessada</t>
    </r>
    <r>
      <rPr>
        <sz val="9"/>
        <rFont val="Arial"/>
        <family val="2"/>
      </rPr>
      <t xml:space="preserve"> ou seu representante, para expressar quantitativamente uma necessidade ou expectativa (ex.: 1% de itens defeituosos admissíveis pelo cliente em um lote entregue, 10% de investimentos em novos produtos esperados pelo controlador). Pode, também, ser estabelecido pela própria organização, ao traduzir necessidades e expectativas qualitativas das partes interessadas em requisitos (ex.: rapidez no atendimento, aumento da rentabilidade, oportunidade de desenvolvimento profissional), determinando um nível de atendimento a ser alcançado (ex.: tempo máximo de espera em fila; um nível mínimo de rentabilidade; um nível de investimento mínimo em capacitação; um nível de redução de acidentes a ser perseguido; um nível de aumento de satisfação a ser buscado) e comunicado à parte interessada. Qualquer que seja a forma de expressão do requisito, espera-se que a </t>
    </r>
    <r>
      <rPr>
        <i/>
        <sz val="9"/>
        <rFont val="Arial"/>
        <family val="2"/>
      </rPr>
      <t>organização</t>
    </r>
    <r>
      <rPr>
        <sz val="9"/>
        <rFont val="Arial"/>
        <family val="2"/>
      </rPr>
      <t xml:space="preserve"> seja capaz de obter e demonstrar a satisfação dos principais anseios das </t>
    </r>
    <r>
      <rPr>
        <i/>
        <sz val="9"/>
        <rFont val="Arial"/>
        <family val="2"/>
      </rPr>
      <t>partes interessadas</t>
    </r>
    <r>
      <rPr>
        <sz val="9"/>
        <rFont val="Arial"/>
        <family val="2"/>
      </rPr>
      <t xml:space="preserve">. Além disso, pode haver casos em que uma </t>
    </r>
    <r>
      <rPr>
        <i/>
        <sz val="9"/>
        <rFont val="Arial"/>
        <family val="2"/>
      </rPr>
      <t>parte interessada</t>
    </r>
    <r>
      <rPr>
        <sz val="9"/>
        <rFont val="Arial"/>
        <family val="2"/>
      </rPr>
      <t xml:space="preserve"> expresse necessidades e expectativas em nome de outra parte (ex.:  uma agência reguladora pode estabelecer o pronto atendimento de reclamações dos consumidores; o controlador pode estabelecer um nível mínimo de acidentes a ser perseguido; a regulamentação pode estabelecer limites a serem observados nas relações com o trabalhador). Pode haver, também, casos de limites teóricos estabelecidos em projeto ou determinados por instituições de normalização.</t>
    </r>
  </si>
  <si>
    <t>Resultado estratégico</t>
  </si>
  <si>
    <r>
      <t xml:space="preserve">Resultado capaz de demonstrar o desempenho relativo às </t>
    </r>
    <r>
      <rPr>
        <i/>
        <sz val="9"/>
        <rFont val="Arial"/>
        <family val="2"/>
      </rPr>
      <t>estratégias</t>
    </r>
    <r>
      <rPr>
        <sz val="9"/>
        <rFont val="Arial"/>
        <family val="2"/>
      </rPr>
      <t xml:space="preserve"> da organização.</t>
    </r>
  </si>
  <si>
    <t>Risco</t>
  </si>
  <si>
    <t>O efeito da incerteza nos objetivos. Qualquer situação que represente um desvio do objetivo de um projeto, processo ou atividade pode ser considerado um risco. Estes desvios podem ser ameaças ou podem gerar oportunidades</t>
  </si>
  <si>
    <t>Riscos inteligentes</t>
  </si>
  <si>
    <t>Forças impulsoras cujo ganho provável em aproveitá-las é maior que o dano ou perda provável em não aproveitá-las. Correr riscos inteligentes requer tolerância à falha e a consciência de que a inovação não se alcança somente com iniciativas de sucesso certo. As organizações devem investir em sucessos potenciais sabendo que alguns vão falhar. O grau de risco que é inteligente correr varia com o ritmo e nível da força impulsora ou restritiva. </t>
  </si>
  <si>
    <t>Setor de atuação</t>
  </si>
  <si>
    <r>
      <t xml:space="preserve">Ramo de atividade que caracteriza o ambiente operacional no qual a </t>
    </r>
    <r>
      <rPr>
        <i/>
        <sz val="9"/>
        <rFont val="Arial"/>
        <family val="2"/>
      </rPr>
      <t>organização</t>
    </r>
    <r>
      <rPr>
        <sz val="9"/>
        <rFont val="Arial"/>
        <family val="2"/>
      </rPr>
      <t xml:space="preserve"> atua. Exemplos: de saneamento, farmacêutico, metalúrgico, financeiro, de saúde, hoteleiro, da construção civil, telefonia, elétrico, de transportes, de comércio, atacadista, publicitário etc.</t>
    </r>
  </si>
  <si>
    <t>Sistema</t>
  </si>
  <si>
    <t>Conjunto de elementos com finalidade comum, que se relacionam entre si, formando um todo dinâmico.</t>
  </si>
  <si>
    <t>Sistema de gestão ou Sistema gerencial</t>
  </si>
  <si>
    <r>
      <t>Conjunto de</t>
    </r>
    <r>
      <rPr>
        <i/>
        <sz val="9"/>
        <rFont val="Arial"/>
        <family val="2"/>
      </rPr>
      <t xml:space="preserve"> </t>
    </r>
    <r>
      <rPr>
        <sz val="9"/>
        <rFont val="Arial"/>
        <family val="2"/>
      </rPr>
      <t xml:space="preserve">elementos, logicamente inter-relacionados com a finalidade de gerir uma </t>
    </r>
    <r>
      <rPr>
        <i/>
        <sz val="9"/>
        <rFont val="Arial"/>
        <family val="2"/>
      </rPr>
      <t>organização</t>
    </r>
    <r>
      <rPr>
        <sz val="9"/>
        <rFont val="Arial"/>
        <family val="2"/>
      </rPr>
      <t xml:space="preserve"> e produzir resultados almejados. Também denominado </t>
    </r>
    <r>
      <rPr>
        <i/>
        <sz val="9"/>
        <rFont val="Arial"/>
        <family val="2"/>
      </rPr>
      <t>sistema gerencial</t>
    </r>
    <r>
      <rPr>
        <sz val="9"/>
        <rFont val="Arial"/>
        <family val="2"/>
      </rPr>
      <t>.</t>
    </r>
  </si>
  <si>
    <r>
      <t>Socioeficiência</t>
    </r>
    <r>
      <rPr>
        <b/>
        <vertAlign val="superscript"/>
        <sz val="9"/>
        <rFont val="Arial"/>
        <family val="2"/>
      </rPr>
      <t>278</t>
    </r>
  </si>
  <si>
    <t>Propriedade de um produto ou processo causar o mínimo impacto adverso ou o máximo benefício social possível em decorrência de sua existência.</t>
  </si>
  <si>
    <t>Tecnologia digital</t>
  </si>
  <si>
    <t>Composta por tecnologia de informação e comunicação móvel e suas potencialidades, computação em nuvem, internet das coisas, geolocalização, análise de dados, reconhecimento facial, com destaque para a aplicação da I.A. na gestão, e outras, bem como a integração entre elas, proporcionando construção de redes, reconhecimento de padrões, geração, avaliação e síntese de documentos e ações, tomada de decisão automática, robotização, automatização de tarefas, georreferenciamento, sensoriamento e outras vantagens.</t>
  </si>
  <si>
    <t>Valores e princípios organizacionais</t>
  </si>
  <si>
    <r>
      <rPr>
        <sz val="9"/>
        <color rgb="FF0070C0"/>
        <rFont val="Arial"/>
        <family val="2"/>
      </rPr>
      <t>Valores são ideias que sintetizam a identidade cultural e a maneira como a organização pretende operar no dia a dia e princípios são padrões éticos universais e atemporais que moldam o caráter da organização.</t>
    </r>
    <r>
      <rPr>
        <sz val="9"/>
        <rFont val="Arial"/>
        <family val="2"/>
      </rPr>
      <t xml:space="preserve"> Em geral, estão expressos na forma de missão, propósitos, visão, valores, crenças, diretrizes, políticas, códigos, princípios gerenciais.</t>
    </r>
  </si>
  <si>
    <t>B</t>
  </si>
  <si>
    <r>
      <t xml:space="preserve">A Lista de Verificação foi extraída do documento "Critérios MEGSA®ESG PNQS 2025', em que há instruções de preenchimento.
Os números que aparecem ao lado de palavras do texto referem-se à notas de rodapé do documento citado e estão reproduzidas na aba "Notas Rodapé" desta planilha.
As alterações em relação ao ciclo anterior aparecem com texto </t>
    </r>
    <r>
      <rPr>
        <sz val="11"/>
        <color rgb="FF0000FF"/>
        <rFont val="Calibri"/>
        <family val="2"/>
        <scheme val="minor"/>
      </rPr>
      <t>em azul</t>
    </r>
    <r>
      <rPr>
        <sz val="11"/>
        <color theme="1"/>
        <rFont val="Calibri"/>
        <family val="2"/>
        <scheme val="minor"/>
      </rPr>
      <t xml:space="preserve">. As exigências relativas a indicadores estão destacadas em </t>
    </r>
    <r>
      <rPr>
        <sz val="11"/>
        <color rgb="FF00B050"/>
        <rFont val="Calibri"/>
        <family val="2"/>
        <scheme val="minor"/>
      </rPr>
      <t>fundo verde</t>
    </r>
    <r>
      <rPr>
        <sz val="11"/>
        <color theme="1"/>
        <rFont val="Calibri"/>
        <family val="2"/>
        <scheme val="minor"/>
      </rPr>
      <t xml:space="preserve">.
Em caso de novas versões do ciclo, a responsabilidade de migrar os dados de uma planilha anterior é do usuário. 
</t>
    </r>
    <r>
      <rPr>
        <sz val="10"/>
        <color theme="1"/>
        <rFont val="Calibri"/>
        <family val="2"/>
        <scheme val="minor"/>
      </rPr>
      <t xml:space="preserve">Usar a senha "/" para Desproteger Planilhas de 1 a 7 e de 8.1 a 8.6 pelo menu 'Revisão', a fim de  liberar campos protegidos, se for conveniente. A proteção visa a preservar as fórmulas contra danos acidentais. Manter a proteção com a mesma senha para evitar danos. </t>
    </r>
    <r>
      <rPr>
        <b/>
        <sz val="10"/>
        <color theme="1"/>
        <rFont val="Calibri"/>
        <family val="2"/>
        <scheme val="minor"/>
      </rPr>
      <t>A garantia contra falhas e suporte remoto,</t>
    </r>
    <r>
      <rPr>
        <b/>
        <u/>
        <sz val="10"/>
        <color theme="1"/>
        <rFont val="Calibri"/>
        <family val="2"/>
        <scheme val="minor"/>
      </rPr>
      <t xml:space="preserve"> exclusiva para Banca e para clientes com licença paga</t>
    </r>
    <r>
      <rPr>
        <b/>
        <sz val="10"/>
        <color theme="1"/>
        <rFont val="Calibri"/>
        <family val="2"/>
        <scheme val="minor"/>
      </rPr>
      <t xml:space="preserve">, é perdida se houver modificações em fórmulas ou nessa senha. </t>
    </r>
  </si>
  <si>
    <t>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</si>
</sst>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 \p\.\p\."/>
  </numFmts>
  <fonts count="16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7"/>
      <color theme="1"/>
      <name val="Calibri"/>
      <family val="2"/>
      <scheme val="minor"/>
    </font>
    <font>
      <b/>
      <sz val="11"/>
      <color rgb="FF0000CC"/>
      <name val="Calibri"/>
      <family val="2"/>
      <scheme val="minor"/>
    </font>
    <font>
      <sz val="10"/>
      <color rgb="FF0000CC"/>
      <name val="Calibri"/>
      <family val="2"/>
      <scheme val="minor"/>
    </font>
    <font>
      <b/>
      <sz val="12"/>
      <color theme="1"/>
      <name val="Calibri"/>
      <family val="2"/>
      <scheme val="minor"/>
    </font>
    <font>
      <sz val="5"/>
      <color theme="1"/>
      <name val="Calibri"/>
      <family val="2"/>
      <scheme val="minor"/>
    </font>
    <font>
      <sz val="9"/>
      <color indexed="81"/>
      <name val="Tahoma"/>
      <family val="2"/>
    </font>
    <font>
      <sz val="9"/>
      <color indexed="81"/>
      <name val="Arial"/>
      <family val="2"/>
    </font>
    <font>
      <sz val="10"/>
      <color indexed="81"/>
      <name val="Tahoma"/>
      <family val="2"/>
    </font>
    <font>
      <sz val="9"/>
      <color rgb="FF0000CC"/>
      <name val="Calibri"/>
      <family val="2"/>
      <scheme val="minor"/>
    </font>
    <font>
      <sz val="9"/>
      <color rgb="FF0000CC"/>
      <name val="Arial"/>
      <family val="2"/>
    </font>
    <font>
      <sz val="10"/>
      <color rgb="FF0000CC"/>
      <name val="Arial"/>
      <family val="2"/>
    </font>
    <font>
      <b/>
      <sz val="10"/>
      <name val="Calibri"/>
      <family val="2"/>
      <scheme val="minor"/>
    </font>
    <font>
      <sz val="10"/>
      <color indexed="81"/>
      <name val="Arial"/>
      <family val="2"/>
    </font>
    <font>
      <b/>
      <sz val="16"/>
      <name val="Calibri"/>
      <family val="2"/>
      <scheme val="minor"/>
    </font>
    <font>
      <b/>
      <sz val="16"/>
      <color theme="1"/>
      <name val="Calibri"/>
      <family val="2"/>
      <scheme val="minor"/>
    </font>
    <font>
      <b/>
      <sz val="16"/>
      <color rgb="FF0000CC"/>
      <name val="Calibri"/>
      <family val="2"/>
      <scheme val="minor"/>
    </font>
    <font>
      <b/>
      <sz val="16"/>
      <color rgb="FF0000CC"/>
      <name val="Arial"/>
      <family val="2"/>
    </font>
    <font>
      <b/>
      <sz val="14"/>
      <color theme="1"/>
      <name val="Calibri"/>
      <family val="2"/>
      <scheme val="minor"/>
    </font>
    <font>
      <sz val="8"/>
      <color rgb="FF0000CC"/>
      <name val="Calibri"/>
      <family val="2"/>
      <scheme val="minor"/>
    </font>
    <font>
      <b/>
      <sz val="9"/>
      <color rgb="FF0000CC"/>
      <name val="Calibri"/>
      <family val="2"/>
      <scheme val="minor"/>
    </font>
    <font>
      <sz val="9"/>
      <color theme="1"/>
      <name val="Calibri"/>
      <family val="2"/>
      <scheme val="minor"/>
    </font>
    <font>
      <i/>
      <sz val="9"/>
      <color theme="1"/>
      <name val="Calibri"/>
      <family val="2"/>
      <scheme val="minor"/>
    </font>
    <font>
      <b/>
      <sz val="9"/>
      <name val="Calibri"/>
      <family val="2"/>
      <scheme val="minor"/>
    </font>
    <font>
      <sz val="10"/>
      <name val="Calibri"/>
      <family val="2"/>
      <scheme val="minor"/>
    </font>
    <font>
      <sz val="20"/>
      <color theme="1"/>
      <name val="Calibri"/>
      <family val="2"/>
      <scheme val="minor"/>
    </font>
    <font>
      <b/>
      <sz val="8"/>
      <color theme="1"/>
      <name val="Calibri"/>
      <family val="2"/>
      <scheme val="minor"/>
    </font>
    <font>
      <sz val="11"/>
      <name val="Calibri"/>
      <family val="2"/>
      <scheme val="minor"/>
    </font>
    <font>
      <sz val="20"/>
      <color rgb="FF0000CC"/>
      <name val="Arial"/>
      <family val="2"/>
    </font>
    <font>
      <b/>
      <sz val="20"/>
      <name val="Calibri"/>
      <family val="2"/>
      <scheme val="minor"/>
    </font>
    <font>
      <b/>
      <sz val="10"/>
      <color rgb="FF0000CC"/>
      <name val="Arial"/>
      <family val="2"/>
    </font>
    <font>
      <b/>
      <sz val="10"/>
      <color rgb="FF0000CC"/>
      <name val="Calibri"/>
      <family val="2"/>
      <scheme val="minor"/>
    </font>
    <font>
      <sz val="16"/>
      <color theme="1"/>
      <name val="Calibri"/>
      <family val="2"/>
      <scheme val="minor"/>
    </font>
    <font>
      <sz val="16"/>
      <color rgb="FF0000CC"/>
      <name val="Arial"/>
      <family val="2"/>
    </font>
    <font>
      <b/>
      <sz val="7"/>
      <color rgb="FF0000CC"/>
      <name val="Calibri"/>
      <family val="2"/>
      <scheme val="minor"/>
    </font>
    <font>
      <b/>
      <sz val="6"/>
      <color rgb="FF0000CC"/>
      <name val="Calibri"/>
      <family val="2"/>
      <scheme val="minor"/>
    </font>
    <font>
      <b/>
      <sz val="11"/>
      <name val="Calibri"/>
      <family val="2"/>
      <scheme val="minor"/>
    </font>
    <font>
      <b/>
      <sz val="10"/>
      <color theme="1"/>
      <name val="Arial"/>
      <family val="2"/>
    </font>
    <font>
      <b/>
      <sz val="10"/>
      <color rgb="FF000000"/>
      <name val="Arial"/>
      <family val="2"/>
    </font>
    <font>
      <b/>
      <sz val="9"/>
      <color rgb="FF000000"/>
      <name val="Arial"/>
      <family val="2"/>
    </font>
    <font>
      <sz val="9"/>
      <color rgb="FF000000"/>
      <name val="Arial"/>
      <family val="2"/>
    </font>
    <font>
      <b/>
      <sz val="6"/>
      <color theme="1"/>
      <name val="Calibri"/>
      <family val="2"/>
      <scheme val="minor"/>
    </font>
    <font>
      <sz val="8"/>
      <name val="Calibri"/>
      <family val="2"/>
      <scheme val="minor"/>
    </font>
    <font>
      <sz val="7"/>
      <name val="Calibri"/>
      <family val="2"/>
      <scheme val="minor"/>
    </font>
    <font>
      <sz val="9"/>
      <name val="Calibri"/>
      <family val="2"/>
      <scheme val="minor"/>
    </font>
    <font>
      <sz val="9"/>
      <name val="Arial"/>
      <family val="2"/>
    </font>
    <font>
      <b/>
      <sz val="9"/>
      <color indexed="81"/>
      <name val="Tahoma"/>
      <family val="2"/>
    </font>
    <font>
      <b/>
      <sz val="9"/>
      <color theme="1"/>
      <name val="Calibri"/>
      <family val="2"/>
      <scheme val="minor"/>
    </font>
    <font>
      <b/>
      <sz val="11"/>
      <color rgb="FFFF0000"/>
      <name val="Calibri"/>
      <family val="2"/>
      <scheme val="minor"/>
    </font>
    <font>
      <b/>
      <sz val="18"/>
      <name val="Calibri"/>
      <family val="2"/>
      <scheme val="minor"/>
    </font>
    <font>
      <b/>
      <sz val="14"/>
      <name val="Calibri"/>
      <family val="2"/>
      <scheme val="minor"/>
    </font>
    <font>
      <sz val="7"/>
      <color theme="1"/>
      <name val="Calibri"/>
      <family val="2"/>
      <scheme val="minor"/>
    </font>
    <font>
      <b/>
      <sz val="8"/>
      <name val="Arial"/>
      <family val="2"/>
    </font>
    <font>
      <b/>
      <sz val="9"/>
      <name val="Arial"/>
      <family val="2"/>
    </font>
    <font>
      <b/>
      <sz val="12"/>
      <color rgb="FF0000CC"/>
      <name val="Calibri"/>
      <family val="2"/>
      <scheme val="minor"/>
    </font>
    <font>
      <b/>
      <sz val="12"/>
      <color rgb="FFFF3300"/>
      <name val="Calibri"/>
      <family val="2"/>
      <scheme val="minor"/>
    </font>
    <font>
      <b/>
      <sz val="8"/>
      <color rgb="FF0000CC"/>
      <name val="Calibri"/>
      <family val="2"/>
      <scheme val="minor"/>
    </font>
    <font>
      <sz val="11"/>
      <color rgb="FF0000CC"/>
      <name val="Calibri"/>
      <family val="2"/>
      <scheme val="minor"/>
    </font>
    <font>
      <b/>
      <sz val="10"/>
      <color indexed="81"/>
      <name val="Tahoma"/>
      <family val="2"/>
    </font>
    <font>
      <sz val="11"/>
      <color indexed="81"/>
      <name val="Tahoma"/>
      <family val="2"/>
    </font>
    <font>
      <b/>
      <sz val="8"/>
      <name val="Calibri"/>
      <family val="2"/>
      <scheme val="minor"/>
    </font>
    <font>
      <b/>
      <sz val="5"/>
      <color theme="0" tint="-0.249977111117893"/>
      <name val="Calibri"/>
      <family val="2"/>
      <scheme val="minor"/>
    </font>
    <font>
      <b/>
      <sz val="12"/>
      <color theme="0" tint="-0.499984740745262"/>
      <name val="Calibri"/>
      <family val="2"/>
      <scheme val="minor"/>
    </font>
    <font>
      <b/>
      <sz val="12"/>
      <name val="Calibri"/>
      <family val="2"/>
      <scheme val="minor"/>
    </font>
    <font>
      <sz val="6"/>
      <color theme="0" tint="-0.34998626667073579"/>
      <name val="Calibri"/>
      <family val="2"/>
      <scheme val="minor"/>
    </font>
    <font>
      <sz val="12"/>
      <color theme="1"/>
      <name val="Calibri"/>
      <family val="2"/>
      <scheme val="minor"/>
    </font>
    <font>
      <sz val="12"/>
      <color rgb="FFFF3300"/>
      <name val="Calibri"/>
      <family val="2"/>
      <scheme val="minor"/>
    </font>
    <font>
      <u/>
      <sz val="10"/>
      <color indexed="81"/>
      <name val="Tahoma"/>
      <family val="2"/>
    </font>
    <font>
      <b/>
      <sz val="6"/>
      <color theme="0" tint="-0.499984740745262"/>
      <name val="Calibri"/>
      <family val="2"/>
      <scheme val="minor"/>
    </font>
    <font>
      <sz val="10"/>
      <color rgb="FF000000"/>
      <name val="Arial"/>
      <family val="2"/>
    </font>
    <font>
      <sz val="10"/>
      <color theme="1"/>
      <name val="Arial"/>
      <family val="2"/>
    </font>
    <font>
      <b/>
      <sz val="10"/>
      <color theme="9" tint="-0.249977111117893"/>
      <name val="Calibri"/>
      <family val="2"/>
      <scheme val="minor"/>
    </font>
    <font>
      <sz val="11"/>
      <color theme="2"/>
      <name val="Calibri"/>
      <family val="2"/>
      <scheme val="minor"/>
    </font>
    <font>
      <sz val="9"/>
      <color indexed="81"/>
      <name val="Segoe UI"/>
      <family val="2"/>
    </font>
    <font>
      <b/>
      <sz val="10"/>
      <color indexed="81"/>
      <name val="Arial"/>
      <family val="2"/>
    </font>
    <font>
      <i/>
      <sz val="11"/>
      <color theme="1"/>
      <name val="Calibri"/>
      <family val="2"/>
      <scheme val="minor"/>
    </font>
    <font>
      <b/>
      <sz val="11"/>
      <name val="Calibri"/>
      <family val="2"/>
    </font>
    <font>
      <b/>
      <sz val="11"/>
      <color rgb="FF0070C0"/>
      <name val="Calibri"/>
      <family val="2"/>
      <scheme val="minor"/>
    </font>
    <font>
      <b/>
      <i/>
      <sz val="11"/>
      <name val="Calibri"/>
      <family val="2"/>
      <scheme val="minor"/>
    </font>
    <font>
      <b/>
      <sz val="10"/>
      <color rgb="FF0070C0"/>
      <name val="Calibri"/>
      <family val="2"/>
      <scheme val="minor"/>
    </font>
    <font>
      <b/>
      <i/>
      <sz val="10"/>
      <name val="Calibri"/>
      <family val="2"/>
      <scheme val="minor"/>
    </font>
    <font>
      <b/>
      <i/>
      <sz val="11"/>
      <color rgb="FF0070C0"/>
      <name val="Calibri"/>
      <family val="2"/>
      <scheme val="minor"/>
    </font>
    <font>
      <b/>
      <i/>
      <sz val="11"/>
      <name val="Calibri"/>
      <family val="2"/>
    </font>
    <font>
      <i/>
      <sz val="10"/>
      <name val="Calibri"/>
      <family val="2"/>
      <scheme val="minor"/>
    </font>
    <font>
      <b/>
      <i/>
      <sz val="10"/>
      <color rgb="FF0070C0"/>
      <name val="Calibri"/>
      <family val="2"/>
      <scheme val="minor"/>
    </font>
    <font>
      <sz val="10"/>
      <color rgb="FF0070C0"/>
      <name val="Calibri"/>
      <family val="2"/>
      <scheme val="minor"/>
    </font>
    <font>
      <i/>
      <sz val="10"/>
      <color rgb="FF0070C0"/>
      <name val="Calibri"/>
      <family val="2"/>
      <scheme val="minor"/>
    </font>
    <font>
      <i/>
      <sz val="10"/>
      <color theme="1"/>
      <name val="Calibri"/>
      <family val="2"/>
      <scheme val="minor"/>
    </font>
    <font>
      <b/>
      <u/>
      <sz val="10"/>
      <name val="Calibri"/>
      <family val="2"/>
      <scheme val="minor"/>
    </font>
    <font>
      <b/>
      <u/>
      <sz val="10"/>
      <color rgb="FF0070C0"/>
      <name val="Calibri"/>
      <family val="2"/>
      <scheme val="minor"/>
    </font>
    <font>
      <b/>
      <u/>
      <sz val="11"/>
      <name val="Calibri"/>
      <family val="2"/>
      <scheme val="minor"/>
    </font>
    <font>
      <sz val="10"/>
      <name val="Arial"/>
      <family val="2"/>
    </font>
    <font>
      <b/>
      <sz val="9"/>
      <color indexed="81"/>
      <name val="Segoe UI"/>
      <family val="2"/>
    </font>
    <font>
      <sz val="11"/>
      <color rgb="FF00B050"/>
      <name val="Calibri"/>
      <family val="2"/>
      <scheme val="minor"/>
    </font>
    <font>
      <sz val="11"/>
      <color rgb="FF0000FF"/>
      <name val="Calibri"/>
      <family val="2"/>
      <scheme val="minor"/>
    </font>
    <font>
      <sz val="8"/>
      <color indexed="81"/>
      <name val="Arial"/>
      <family val="2"/>
    </font>
    <font>
      <b/>
      <sz val="11"/>
      <color indexed="81"/>
      <name val="Tahoma"/>
      <family val="2"/>
    </font>
    <font>
      <sz val="7"/>
      <color rgb="FF0000CC"/>
      <name val="Arial"/>
      <family val="2"/>
    </font>
    <font>
      <b/>
      <sz val="8"/>
      <color indexed="81"/>
      <name val="Arial"/>
      <family val="2"/>
    </font>
    <font>
      <b/>
      <sz val="10"/>
      <color rgb="FFFF0000"/>
      <name val="Calibri"/>
      <family val="2"/>
      <scheme val="minor"/>
    </font>
    <font>
      <b/>
      <sz val="14"/>
      <color rgb="FF0000CC"/>
      <name val="Calibri"/>
      <family val="2"/>
      <scheme val="minor"/>
    </font>
    <font>
      <sz val="11"/>
      <color theme="0" tint="-4.9989318521683403E-2"/>
      <name val="Calibri"/>
      <family val="2"/>
      <scheme val="minor"/>
    </font>
    <font>
      <sz val="10"/>
      <color theme="1"/>
      <name val="Wingdings 3"/>
      <family val="1"/>
      <charset val="2"/>
    </font>
    <font>
      <b/>
      <sz val="8"/>
      <color rgb="FF000099"/>
      <name val="Calibri"/>
      <family val="2"/>
      <scheme val="minor"/>
    </font>
    <font>
      <i/>
      <sz val="10"/>
      <color indexed="81"/>
      <name val="Arial"/>
      <family val="2"/>
    </font>
    <font>
      <i/>
      <sz val="10"/>
      <color indexed="81"/>
      <name val="Tahoma"/>
      <family val="2"/>
    </font>
    <font>
      <sz val="10"/>
      <color theme="9" tint="-0.249977111117893"/>
      <name val="Arial"/>
      <family val="2"/>
    </font>
    <font>
      <b/>
      <sz val="11"/>
      <color theme="9" tint="-0.249977111117893"/>
      <name val="Arial"/>
      <family val="2"/>
    </font>
    <font>
      <b/>
      <sz val="10"/>
      <color theme="9" tint="-0.249977111117893"/>
      <name val="Arial"/>
      <family val="2"/>
    </font>
    <font>
      <sz val="20"/>
      <color theme="9" tint="-0.249977111117893"/>
      <name val="Arial"/>
      <family val="2"/>
    </font>
    <font>
      <b/>
      <sz val="20"/>
      <color theme="9" tint="-0.249977111117893"/>
      <name val="Arial"/>
      <family val="2"/>
    </font>
    <font>
      <b/>
      <sz val="9"/>
      <color theme="9" tint="-0.249977111117893"/>
      <name val="Arial"/>
      <family val="2"/>
    </font>
    <font>
      <b/>
      <sz val="9"/>
      <color theme="9" tint="-0.249977111117893"/>
      <name val="Calibri"/>
      <family val="2"/>
      <scheme val="minor"/>
    </font>
    <font>
      <b/>
      <sz val="16"/>
      <color theme="9" tint="-0.249977111117893"/>
      <name val="Calibri"/>
      <family val="2"/>
      <scheme val="minor"/>
    </font>
    <font>
      <b/>
      <sz val="11"/>
      <color rgb="FF0000CC"/>
      <name val="Arial"/>
      <family val="2"/>
    </font>
    <font>
      <sz val="7"/>
      <color rgb="FF0000CC"/>
      <name val="Calibri"/>
      <family val="2"/>
      <scheme val="minor"/>
    </font>
    <font>
      <sz val="5"/>
      <name val="Calibri"/>
      <family val="2"/>
      <scheme val="minor"/>
    </font>
    <font>
      <b/>
      <sz val="10"/>
      <color rgb="FF073763"/>
      <name val="Calibri"/>
      <family val="2"/>
      <scheme val="minor"/>
    </font>
    <font>
      <b/>
      <sz val="10"/>
      <color rgb="FF1C4587"/>
      <name val="Calibri"/>
      <family val="2"/>
      <scheme val="minor"/>
    </font>
    <font>
      <b/>
      <sz val="24"/>
      <name val="Arial"/>
      <family val="2"/>
    </font>
    <font>
      <sz val="11"/>
      <name val="Arial"/>
      <family val="2"/>
    </font>
    <font>
      <vertAlign val="superscript"/>
      <sz val="11"/>
      <name val="Arial"/>
      <family val="2"/>
    </font>
    <font>
      <i/>
      <sz val="9"/>
      <name val="Arial"/>
      <family val="2"/>
    </font>
    <font>
      <sz val="9"/>
      <color rgb="FF0070C0"/>
      <name val="Arial"/>
      <family val="2"/>
    </font>
    <font>
      <b/>
      <sz val="9"/>
      <color rgb="FF0070C0"/>
      <name val="Arial"/>
      <family val="2"/>
    </font>
    <font>
      <b/>
      <vertAlign val="superscript"/>
      <sz val="9"/>
      <name val="Arial"/>
      <family val="2"/>
    </font>
    <font>
      <sz val="10"/>
      <color rgb="FF0000CC"/>
      <name val="Arial"/>
      <family val="2"/>
    </font>
    <font>
      <sz val="8"/>
      <color theme="1"/>
      <name val="Calibri"/>
      <family val="2"/>
    </font>
    <font>
      <b/>
      <sz val="8"/>
      <color theme="1"/>
      <name val="Calibri"/>
      <family val="2"/>
    </font>
    <font>
      <b/>
      <sz val="11"/>
      <color rgb="FF0000CC"/>
      <name val="Calibri"/>
      <family val="2"/>
    </font>
    <font>
      <b/>
      <sz val="9"/>
      <color rgb="FF0000CC"/>
      <name val="Calibri"/>
      <family val="2"/>
    </font>
    <font>
      <sz val="8"/>
      <color theme="1"/>
      <name val="Calibri"/>
      <family val="2"/>
    </font>
    <font>
      <b/>
      <sz val="8"/>
      <color theme="1"/>
      <name val="Calibri"/>
      <family val="2"/>
    </font>
    <font>
      <b/>
      <sz val="11"/>
      <color rgb="FF0000CC"/>
      <name val="Calibri"/>
      <family val="2"/>
    </font>
    <font>
      <b/>
      <sz val="12"/>
      <color rgb="FF0000CC"/>
      <name val="Calibri"/>
      <family val="2"/>
    </font>
    <font>
      <b/>
      <sz val="8"/>
      <name val="Calibri"/>
      <family val="2"/>
    </font>
    <font>
      <b/>
      <sz val="10"/>
      <color rgb="FF0000CC"/>
      <name val="Arial"/>
      <family val="2"/>
    </font>
    <font>
      <b/>
      <sz val="11"/>
      <color rgb="FFFF0000"/>
      <name val="Calibri"/>
      <family val="2"/>
    </font>
    <font>
      <b/>
      <sz val="8"/>
      <color rgb="FFFF0000"/>
      <name val="Calibri"/>
      <family val="2"/>
      <scheme val="minor"/>
    </font>
    <font>
      <b/>
      <u/>
      <sz val="10"/>
      <color theme="1"/>
      <name val="Calibri"/>
      <family val="2"/>
      <scheme val="minor"/>
    </font>
    <font>
      <u/>
      <sz val="9"/>
      <color theme="1"/>
      <name val="Calibri"/>
      <family val="2"/>
      <scheme val="minor"/>
    </font>
    <font>
      <sz val="9"/>
      <color theme="9" tint="-0.249977111117893"/>
      <name val="Arial"/>
      <family val="2"/>
    </font>
    <font>
      <sz val="8"/>
      <color theme="9" tint="-0.249977111117893"/>
      <name val="Calibri"/>
      <family val="2"/>
      <scheme val="minor"/>
    </font>
    <font>
      <sz val="9"/>
      <color theme="9" tint="-0.249977111117893"/>
      <name val="Calibri"/>
      <family val="2"/>
      <scheme val="minor"/>
    </font>
    <font>
      <b/>
      <sz val="9"/>
      <color indexed="81"/>
      <name val="Arial"/>
      <family val="2"/>
    </font>
    <font>
      <b/>
      <sz val="12"/>
      <color rgb="FF0000CC"/>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9D9D9"/>
        <bgColor indexed="64"/>
      </patternFill>
    </fill>
    <fill>
      <patternFill patternType="solid">
        <fgColor rgb="FFE0E0E0"/>
        <bgColor indexed="64"/>
      </patternFill>
    </fill>
    <fill>
      <patternFill patternType="solid">
        <fgColor rgb="FFEFEFEF"/>
        <bgColor indexed="64"/>
      </patternFill>
    </fill>
    <fill>
      <patternFill patternType="solid">
        <fgColor theme="4" tint="0.59999389629810485"/>
        <bgColor indexed="64"/>
      </patternFill>
    </fill>
    <fill>
      <patternFill patternType="solid">
        <fgColor indexed="27"/>
        <bgColor indexed="64"/>
      </patternFill>
    </fill>
    <fill>
      <patternFill patternType="solid">
        <fgColor theme="0"/>
        <bgColor indexed="64"/>
      </patternFill>
    </fill>
    <fill>
      <patternFill patternType="solid">
        <fgColor theme="7"/>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999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0066"/>
        <bgColor indexed="64"/>
      </patternFill>
    </fill>
    <fill>
      <patternFill patternType="solid">
        <fgColor rgb="FFFF7C80"/>
        <bgColor indexed="64"/>
      </patternFill>
    </fill>
    <fill>
      <patternFill patternType="solid">
        <fgColor rgb="FFFFFF99"/>
        <bgColor indexed="64"/>
      </patternFill>
    </fill>
    <fill>
      <patternFill patternType="solid">
        <fgColor rgb="FFFFFF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7">
    <xf numFmtId="0" fontId="0" fillId="0" borderId="0" xfId="0"/>
    <xf numFmtId="0" fontId="18" fillId="0" borderId="0" xfId="0" applyFont="1" applyAlignment="1">
      <alignment horizontal="center" vertical="center"/>
    </xf>
    <xf numFmtId="0" fontId="21" fillId="0" borderId="10" xfId="0" applyFont="1" applyBorder="1" applyAlignment="1">
      <alignment horizontal="center" vertical="center"/>
    </xf>
    <xf numFmtId="0" fontId="0" fillId="33" borderId="0" xfId="0" applyFill="1"/>
    <xf numFmtId="0" fontId="16" fillId="33" borderId="0" xfId="0" applyFont="1" applyFill="1"/>
    <xf numFmtId="0" fontId="21" fillId="33" borderId="10" xfId="0" applyFont="1" applyFill="1" applyBorder="1" applyAlignment="1">
      <alignment horizontal="center" vertical="center"/>
    </xf>
    <xf numFmtId="0" fontId="18" fillId="33" borderId="10" xfId="0" applyFont="1" applyFill="1" applyBorder="1" applyAlignment="1">
      <alignment horizontal="center" vertical="center"/>
    </xf>
    <xf numFmtId="0" fontId="26" fillId="0" borderId="0" xfId="0" applyFont="1" applyAlignment="1">
      <alignment horizontal="center" vertical="center"/>
    </xf>
    <xf numFmtId="0" fontId="22" fillId="34" borderId="10" xfId="0" applyFont="1" applyFill="1" applyBorder="1" applyAlignment="1">
      <alignment horizontal="center" vertical="center"/>
    </xf>
    <xf numFmtId="0" fontId="33" fillId="34" borderId="10" xfId="0" applyFont="1" applyFill="1" applyBorder="1" applyAlignment="1">
      <alignment horizontal="center" vertical="center" wrapText="1"/>
    </xf>
    <xf numFmtId="0" fontId="18" fillId="0" borderId="10" xfId="0" applyFont="1" applyBorder="1" applyAlignment="1">
      <alignment horizontal="center" vertical="center"/>
    </xf>
    <xf numFmtId="0" fontId="18" fillId="34" borderId="13" xfId="0" applyFont="1" applyFill="1" applyBorder="1" applyAlignment="1">
      <alignment horizontal="center" vertical="center"/>
    </xf>
    <xf numFmtId="0" fontId="18" fillId="0" borderId="12" xfId="0" applyFont="1" applyBorder="1" applyAlignment="1">
      <alignment horizontal="center" vertical="center"/>
    </xf>
    <xf numFmtId="0" fontId="21" fillId="0" borderId="12" xfId="0" applyFont="1" applyBorder="1" applyAlignment="1">
      <alignment horizontal="center" vertical="center"/>
    </xf>
    <xf numFmtId="0" fontId="18" fillId="34" borderId="15" xfId="0" applyFont="1" applyFill="1" applyBorder="1" applyAlignment="1">
      <alignment horizontal="center" vertical="center"/>
    </xf>
    <xf numFmtId="0" fontId="21" fillId="34" borderId="15" xfId="0" applyFont="1" applyFill="1" applyBorder="1" applyAlignment="1">
      <alignment horizontal="center" vertical="center"/>
    </xf>
    <xf numFmtId="0" fontId="18" fillId="33" borderId="11" xfId="0" applyFont="1" applyFill="1" applyBorder="1" applyAlignment="1">
      <alignment horizontal="center" vertical="center"/>
    </xf>
    <xf numFmtId="0" fontId="18" fillId="33" borderId="12" xfId="0" applyFont="1" applyFill="1" applyBorder="1" applyAlignment="1">
      <alignment horizontal="center" vertical="center"/>
    </xf>
    <xf numFmtId="0" fontId="21"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21" fillId="33" borderId="16" xfId="0" applyFont="1" applyFill="1" applyBorder="1" applyAlignment="1">
      <alignment horizontal="center" vertical="center"/>
    </xf>
    <xf numFmtId="0" fontId="0" fillId="0" borderId="16" xfId="0" applyBorder="1"/>
    <xf numFmtId="0" fontId="21" fillId="0" borderId="11" xfId="0" applyFont="1" applyBorder="1" applyAlignment="1">
      <alignment horizontal="center" vertical="center"/>
    </xf>
    <xf numFmtId="0" fontId="37" fillId="34" borderId="15" xfId="0" applyFont="1" applyFill="1" applyBorder="1" applyAlignment="1">
      <alignment horizontal="center" vertical="center"/>
    </xf>
    <xf numFmtId="0" fontId="37" fillId="34" borderId="15" xfId="0" applyFont="1" applyFill="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7" fillId="0" borderId="16" xfId="0" applyFont="1" applyBorder="1" applyAlignment="1">
      <alignment horizontal="center" vertical="center"/>
    </xf>
    <xf numFmtId="0" fontId="37" fillId="33" borderId="12" xfId="0" applyFont="1" applyFill="1" applyBorder="1" applyAlignment="1" applyProtection="1">
      <alignment horizontal="center" vertical="center" wrapText="1"/>
      <protection locked="0"/>
    </xf>
    <xf numFmtId="0" fontId="36" fillId="0" borderId="10" xfId="0" applyFont="1" applyBorder="1" applyAlignment="1">
      <alignment horizontal="center" vertical="center"/>
    </xf>
    <xf numFmtId="0" fontId="36" fillId="0" borderId="0" xfId="0" applyFont="1" applyAlignment="1">
      <alignment horizontal="center" vertical="center"/>
    </xf>
    <xf numFmtId="0" fontId="35" fillId="34" borderId="15" xfId="0" applyFont="1" applyFill="1" applyBorder="1" applyAlignment="1">
      <alignment horizontal="center" vertical="center"/>
    </xf>
    <xf numFmtId="0" fontId="38" fillId="34" borderId="15" xfId="0" applyFont="1" applyFill="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35" fillId="0" borderId="11" xfId="0" applyFont="1" applyBorder="1" applyAlignment="1">
      <alignment horizontal="center" vertical="center"/>
    </xf>
    <xf numFmtId="0" fontId="37" fillId="34" borderId="10" xfId="0" applyFont="1" applyFill="1" applyBorder="1" applyAlignment="1">
      <alignment horizontal="center" vertical="center"/>
    </xf>
    <xf numFmtId="0" fontId="39" fillId="34" borderId="11" xfId="0" applyFont="1" applyFill="1" applyBorder="1" applyAlignment="1">
      <alignment horizontal="center" vertical="center"/>
    </xf>
    <xf numFmtId="0" fontId="25" fillId="34" borderId="10" xfId="0" applyFont="1" applyFill="1" applyBorder="1" applyAlignment="1">
      <alignment horizontal="center" vertical="center"/>
    </xf>
    <xf numFmtId="0" fontId="18" fillId="34" borderId="10" xfId="0" applyFont="1" applyFill="1" applyBorder="1" applyAlignment="1">
      <alignment horizontal="center" vertical="center"/>
    </xf>
    <xf numFmtId="9" fontId="41" fillId="34" borderId="15" xfId="43" applyFont="1" applyFill="1" applyBorder="1" applyAlignment="1">
      <alignment horizontal="center" vertical="center"/>
    </xf>
    <xf numFmtId="0" fontId="0" fillId="33" borderId="0" xfId="0" applyFill="1" applyAlignment="1">
      <alignment horizontal="right"/>
    </xf>
    <xf numFmtId="0" fontId="0" fillId="0" borderId="0" xfId="0" applyAlignment="1">
      <alignment horizontal="right"/>
    </xf>
    <xf numFmtId="0" fontId="0" fillId="35" borderId="10" xfId="0" applyFill="1" applyBorder="1"/>
    <xf numFmtId="0" fontId="20" fillId="35" borderId="10" xfId="0" applyFont="1" applyFill="1" applyBorder="1"/>
    <xf numFmtId="0" fontId="20" fillId="0" borderId="16" xfId="0" applyFont="1" applyBorder="1"/>
    <xf numFmtId="0" fontId="0" fillId="33" borderId="10" xfId="0" applyFill="1" applyBorder="1"/>
    <xf numFmtId="0" fontId="19" fillId="33" borderId="10" xfId="0" applyFont="1" applyFill="1" applyBorder="1"/>
    <xf numFmtId="1" fontId="19" fillId="33" borderId="10" xfId="43" applyNumberFormat="1" applyFont="1" applyFill="1" applyBorder="1"/>
    <xf numFmtId="9" fontId="19" fillId="33" borderId="10" xfId="43" applyFont="1" applyFill="1" applyBorder="1"/>
    <xf numFmtId="0" fontId="43" fillId="33" borderId="0" xfId="0" applyFont="1" applyFill="1" applyAlignment="1">
      <alignment horizontal="right"/>
    </xf>
    <xf numFmtId="0" fontId="23" fillId="0" borderId="10" xfId="0" applyFont="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right"/>
      <protection locked="0"/>
    </xf>
    <xf numFmtId="0" fontId="18"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51" fillId="34" borderId="15" xfId="0" applyFont="1" applyFill="1" applyBorder="1" applyAlignment="1" applyProtection="1">
      <alignment horizontal="center" vertical="center"/>
      <protection locked="0"/>
    </xf>
    <xf numFmtId="0" fontId="51" fillId="34" borderId="13" xfId="0" applyFont="1" applyFill="1" applyBorder="1" applyAlignment="1" applyProtection="1">
      <alignment horizontal="center" vertical="center"/>
      <protection locked="0"/>
    </xf>
    <xf numFmtId="0" fontId="51" fillId="34" borderId="14" xfId="0" applyFont="1" applyFill="1" applyBorder="1" applyAlignment="1" applyProtection="1">
      <alignment horizontal="center" vertical="center"/>
      <protection locked="0"/>
    </xf>
    <xf numFmtId="0" fontId="52" fillId="0" borderId="1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52" fillId="34" borderId="15"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0" fontId="46" fillId="34" borderId="0" xfId="0" applyFont="1" applyFill="1" applyAlignment="1" applyProtection="1">
      <alignment horizontal="center" vertical="center"/>
      <protection locked="0"/>
    </xf>
    <xf numFmtId="0" fontId="52" fillId="0" borderId="12" xfId="0" applyFont="1" applyBorder="1" applyAlignment="1" applyProtection="1">
      <alignment horizontal="center" vertical="center"/>
      <protection locked="0"/>
    </xf>
    <xf numFmtId="0" fontId="46" fillId="34" borderId="15" xfId="0" applyFont="1" applyFill="1" applyBorder="1" applyAlignment="1" applyProtection="1">
      <alignment horizontal="center" vertical="center"/>
      <protection locked="0"/>
    </xf>
    <xf numFmtId="0" fontId="47" fillId="34" borderId="10" xfId="0" applyFont="1" applyFill="1" applyBorder="1" applyAlignment="1">
      <alignment horizontal="center" vertical="center"/>
    </xf>
    <xf numFmtId="0" fontId="51" fillId="34" borderId="15" xfId="0" applyFont="1" applyFill="1" applyBorder="1" applyAlignment="1">
      <alignment horizontal="center" vertical="center"/>
    </xf>
    <xf numFmtId="0" fontId="52" fillId="0" borderId="10" xfId="0" applyFont="1" applyBorder="1" applyAlignment="1">
      <alignment horizontal="center" vertical="center"/>
    </xf>
    <xf numFmtId="0" fontId="52" fillId="34" borderId="15" xfId="0" applyFont="1" applyFill="1" applyBorder="1" applyAlignment="1">
      <alignment horizontal="center" vertical="center"/>
    </xf>
    <xf numFmtId="0" fontId="51" fillId="34" borderId="14" xfId="0" applyFont="1" applyFill="1" applyBorder="1" applyAlignment="1">
      <alignment horizontal="center" vertical="center"/>
    </xf>
    <xf numFmtId="0" fontId="52" fillId="0" borderId="12" xfId="0" applyFont="1" applyBorder="1" applyAlignment="1">
      <alignment horizontal="center" vertical="center"/>
    </xf>
    <xf numFmtId="0" fontId="51" fillId="34" borderId="23" xfId="0" applyFont="1" applyFill="1" applyBorder="1" applyAlignment="1">
      <alignment horizontal="center"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46" fillId="0" borderId="0" xfId="0" applyFont="1" applyAlignment="1">
      <alignment horizontal="center" vertical="center"/>
    </xf>
    <xf numFmtId="0" fontId="53"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56" fillId="0" borderId="10" xfId="0" applyFont="1" applyBorder="1" applyAlignment="1" applyProtection="1">
      <alignment horizontal="center" vertical="center"/>
      <protection locked="0"/>
    </xf>
    <xf numFmtId="0" fontId="33" fillId="34" borderId="13" xfId="0" applyFont="1" applyFill="1" applyBorder="1" applyAlignment="1">
      <alignment horizontal="center" vertical="center" wrapText="1"/>
    </xf>
    <xf numFmtId="0" fontId="51" fillId="0" borderId="14" xfId="0" applyFont="1" applyBorder="1" applyAlignment="1" applyProtection="1">
      <alignment horizontal="center" vertical="center"/>
      <protection locked="0"/>
    </xf>
    <xf numFmtId="0" fontId="52" fillId="0" borderId="14" xfId="0" applyFont="1" applyBorder="1" applyAlignment="1" applyProtection="1">
      <alignment horizontal="center" vertical="center"/>
      <protection locked="0"/>
    </xf>
    <xf numFmtId="0" fontId="52" fillId="34" borderId="10" xfId="0" applyFont="1" applyFill="1" applyBorder="1" applyAlignment="1">
      <alignment horizontal="center" vertical="center"/>
    </xf>
    <xf numFmtId="0" fontId="25" fillId="33" borderId="0" xfId="0" applyFont="1" applyFill="1" applyAlignment="1">
      <alignment horizontal="left"/>
    </xf>
    <xf numFmtId="0" fontId="22" fillId="34" borderId="13" xfId="0" applyFont="1" applyFill="1" applyBorder="1" applyAlignment="1">
      <alignment horizontal="center" vertical="center"/>
    </xf>
    <xf numFmtId="0" fontId="22" fillId="34" borderId="15" xfId="0" applyFont="1" applyFill="1" applyBorder="1" applyAlignment="1">
      <alignment horizontal="center" vertical="center"/>
    </xf>
    <xf numFmtId="0" fontId="33" fillId="34" borderId="15" xfId="0" applyFont="1" applyFill="1" applyBorder="1" applyAlignment="1">
      <alignment horizontal="center" vertical="center" wrapText="1"/>
    </xf>
    <xf numFmtId="0" fontId="33" fillId="34" borderId="14" xfId="0" applyFont="1" applyFill="1" applyBorder="1" applyAlignment="1" applyProtection="1">
      <alignment horizontal="center" vertical="center" wrapText="1"/>
      <protection locked="0"/>
    </xf>
    <xf numFmtId="0" fontId="16" fillId="34" borderId="11" xfId="0" applyFont="1" applyFill="1" applyBorder="1" applyAlignment="1">
      <alignment horizontal="center" vertical="center"/>
    </xf>
    <xf numFmtId="0" fontId="59" fillId="37" borderId="10" xfId="0" applyFont="1" applyFill="1" applyBorder="1" applyAlignment="1">
      <alignment horizontal="justify" vertical="center" wrapText="1"/>
    </xf>
    <xf numFmtId="0" fontId="58" fillId="38" borderId="11" xfId="0" applyFont="1" applyFill="1" applyBorder="1" applyAlignment="1">
      <alignment horizontal="justify" vertical="center" wrapText="1"/>
    </xf>
    <xf numFmtId="0" fontId="59" fillId="0" borderId="16" xfId="0" applyFont="1" applyBorder="1" applyAlignment="1">
      <alignment horizontal="justify" vertical="center" wrapText="1"/>
    </xf>
    <xf numFmtId="0" fontId="59" fillId="37" borderId="10" xfId="0" applyFont="1" applyFill="1" applyBorder="1" applyAlignment="1">
      <alignment horizontal="right" vertical="center" wrapText="1"/>
    </xf>
    <xf numFmtId="0" fontId="59" fillId="0" borderId="10" xfId="0" applyFont="1" applyBorder="1" applyAlignment="1">
      <alignment horizontal="justify" vertical="center" wrapText="1"/>
    </xf>
    <xf numFmtId="0" fontId="59" fillId="36" borderId="10" xfId="0" applyFont="1" applyFill="1" applyBorder="1" applyAlignment="1">
      <alignment horizontal="justify" vertical="center" wrapText="1"/>
    </xf>
    <xf numFmtId="0" fontId="58" fillId="0" borderId="10" xfId="0" applyFont="1" applyBorder="1" applyAlignment="1">
      <alignment horizontal="justify" vertical="center" wrapText="1"/>
    </xf>
    <xf numFmtId="0" fontId="60" fillId="37" borderId="10" xfId="0" applyFont="1" applyFill="1" applyBorder="1" applyAlignment="1">
      <alignment horizontal="right" vertical="center" wrapText="1"/>
    </xf>
    <xf numFmtId="9" fontId="23" fillId="33" borderId="10" xfId="43" applyFont="1" applyFill="1" applyBorder="1" applyAlignment="1">
      <alignment horizontal="center" vertical="center"/>
    </xf>
    <xf numFmtId="9" fontId="64" fillId="34" borderId="10" xfId="43" applyFont="1" applyFill="1" applyBorder="1" applyAlignment="1">
      <alignment horizontal="center" vertical="center"/>
    </xf>
    <xf numFmtId="9" fontId="55" fillId="34" borderId="24" xfId="43" applyFont="1" applyFill="1" applyBorder="1" applyAlignment="1" applyProtection="1">
      <alignment horizontal="center" vertical="center"/>
    </xf>
    <xf numFmtId="0" fontId="25" fillId="34" borderId="22" xfId="0" applyFont="1" applyFill="1" applyBorder="1" applyAlignment="1">
      <alignment horizontal="center" vertical="center"/>
    </xf>
    <xf numFmtId="0" fontId="16" fillId="34" borderId="22" xfId="0" applyFont="1" applyFill="1" applyBorder="1" applyAlignment="1">
      <alignment horizontal="center" vertical="center"/>
    </xf>
    <xf numFmtId="0" fontId="57" fillId="34" borderId="15" xfId="0" applyFont="1" applyFill="1" applyBorder="1" applyAlignment="1">
      <alignment horizontal="center" vertical="center" wrapText="1"/>
    </xf>
    <xf numFmtId="0" fontId="25" fillId="34" borderId="15" xfId="0" applyFont="1" applyFill="1" applyBorder="1" applyAlignment="1">
      <alignment horizontal="center" vertical="center"/>
    </xf>
    <xf numFmtId="9" fontId="55" fillId="34" borderId="10" xfId="43" applyFont="1" applyFill="1" applyBorder="1" applyAlignment="1" applyProtection="1">
      <alignment horizontal="center" vertical="center"/>
    </xf>
    <xf numFmtId="0" fontId="61" fillId="0" borderId="10" xfId="0" applyFont="1" applyBorder="1" applyAlignment="1">
      <alignment horizontal="right" vertical="center" wrapText="1"/>
    </xf>
    <xf numFmtId="0" fontId="66" fillId="33" borderId="10" xfId="0" applyFont="1" applyFill="1" applyBorder="1" applyAlignment="1">
      <alignment horizontal="right" vertical="center" wrapText="1"/>
    </xf>
    <xf numFmtId="0" fontId="37" fillId="34" borderId="12" xfId="0" applyFont="1" applyFill="1" applyBorder="1" applyAlignment="1">
      <alignment horizontal="center" vertical="center" wrapText="1"/>
    </xf>
    <xf numFmtId="0" fontId="18" fillId="34" borderId="16" xfId="0" applyFont="1" applyFill="1" applyBorder="1" applyAlignment="1">
      <alignment horizontal="center" vertical="center"/>
    </xf>
    <xf numFmtId="0" fontId="21" fillId="34" borderId="16" xfId="0" applyFont="1" applyFill="1" applyBorder="1" applyAlignment="1">
      <alignment horizontal="center" vertical="center"/>
    </xf>
    <xf numFmtId="0" fontId="21" fillId="34" borderId="11" xfId="0" applyFont="1" applyFill="1" applyBorder="1" applyAlignment="1">
      <alignment horizontal="center" vertical="center"/>
    </xf>
    <xf numFmtId="0" fontId="33" fillId="0" borderId="11" xfId="0" applyFont="1" applyBorder="1" applyAlignment="1">
      <alignment horizontal="center" vertical="center"/>
    </xf>
    <xf numFmtId="0" fontId="52" fillId="0" borderId="0" xfId="0" applyFont="1" applyAlignment="1">
      <alignment horizontal="center" vertical="center"/>
    </xf>
    <xf numFmtId="0" fontId="51" fillId="0" borderId="12" xfId="0" applyFont="1" applyBorder="1" applyAlignment="1">
      <alignment horizontal="center" vertical="center"/>
    </xf>
    <xf numFmtId="0" fontId="38" fillId="34" borderId="10" xfId="0" applyFont="1" applyFill="1" applyBorder="1" applyAlignment="1">
      <alignment horizontal="center" vertical="center"/>
    </xf>
    <xf numFmtId="0" fontId="37" fillId="34" borderId="16" xfId="0" applyFont="1" applyFill="1" applyBorder="1" applyAlignment="1">
      <alignment horizontal="center" vertical="center"/>
    </xf>
    <xf numFmtId="0" fontId="18" fillId="34" borderId="20" xfId="0" applyFont="1" applyFill="1" applyBorder="1" applyAlignment="1">
      <alignment horizontal="center" vertical="center"/>
    </xf>
    <xf numFmtId="0" fontId="18" fillId="0" borderId="15" xfId="0" applyFont="1" applyBorder="1" applyAlignment="1">
      <alignment horizontal="center" vertical="center"/>
    </xf>
    <xf numFmtId="0" fontId="33" fillId="0" borderId="15" xfId="0" applyFont="1" applyBorder="1" applyAlignment="1">
      <alignment horizontal="center" vertical="center"/>
    </xf>
    <xf numFmtId="0" fontId="33" fillId="0" borderId="15" xfId="0" applyFont="1" applyBorder="1" applyAlignment="1" applyProtection="1">
      <alignment horizontal="center" vertical="center"/>
      <protection locked="0"/>
    </xf>
    <xf numFmtId="0" fontId="50" fillId="0" borderId="15" xfId="0" applyFont="1" applyBorder="1" applyAlignment="1" applyProtection="1">
      <alignment horizontal="center" vertical="center"/>
      <protection locked="0"/>
    </xf>
    <xf numFmtId="0" fontId="21" fillId="0" borderId="15" xfId="0" applyFont="1" applyBorder="1" applyAlignment="1">
      <alignment horizontal="center" vertical="center"/>
    </xf>
    <xf numFmtId="0" fontId="37" fillId="0" borderId="15" xfId="0" applyFont="1" applyBorder="1" applyAlignment="1">
      <alignment horizontal="center" vertical="center"/>
    </xf>
    <xf numFmtId="0" fontId="52" fillId="0" borderId="15" xfId="0" applyFont="1" applyBorder="1" applyAlignment="1">
      <alignment horizontal="center" vertical="center"/>
    </xf>
    <xf numFmtId="0" fontId="46" fillId="0" borderId="15" xfId="0" applyFont="1" applyBorder="1" applyAlignment="1" applyProtection="1">
      <alignment horizontal="center" vertical="center"/>
      <protection locked="0"/>
    </xf>
    <xf numFmtId="43" fontId="21" fillId="34" borderId="19" xfId="42" applyFont="1" applyFill="1" applyBorder="1" applyAlignment="1">
      <alignment horizontal="center" vertical="center"/>
    </xf>
    <xf numFmtId="0" fontId="18" fillId="33" borderId="15" xfId="0" applyFont="1" applyFill="1" applyBorder="1" applyAlignment="1">
      <alignment horizontal="center" vertical="center"/>
    </xf>
    <xf numFmtId="0" fontId="21" fillId="33" borderId="15" xfId="0" applyFont="1" applyFill="1" applyBorder="1" applyAlignment="1">
      <alignment horizontal="center" vertical="center"/>
    </xf>
    <xf numFmtId="0" fontId="52" fillId="0" borderId="15" xfId="0" applyFont="1" applyBorder="1" applyAlignment="1" applyProtection="1">
      <alignment horizontal="center" vertical="center"/>
      <protection locked="0"/>
    </xf>
    <xf numFmtId="0" fontId="37" fillId="34" borderId="12" xfId="0" applyFont="1" applyFill="1" applyBorder="1" applyAlignment="1" applyProtection="1">
      <alignment horizontal="center" vertical="center" wrapText="1"/>
      <protection locked="0"/>
    </xf>
    <xf numFmtId="0" fontId="37" fillId="34" borderId="12" xfId="0" applyFont="1" applyFill="1" applyBorder="1" applyAlignment="1">
      <alignment horizontal="center" vertical="center"/>
    </xf>
    <xf numFmtId="0" fontId="21" fillId="34" borderId="10" xfId="0" applyFont="1" applyFill="1" applyBorder="1" applyAlignment="1">
      <alignment horizontal="center" vertical="center"/>
    </xf>
    <xf numFmtId="0" fontId="52" fillId="34" borderId="0" xfId="0" applyFont="1" applyFill="1" applyAlignment="1">
      <alignment horizontal="center" vertical="center"/>
    </xf>
    <xf numFmtId="0" fontId="46" fillId="0" borderId="15" xfId="0" applyFont="1" applyBorder="1" applyAlignment="1">
      <alignment horizontal="center" vertical="center"/>
    </xf>
    <xf numFmtId="0" fontId="21" fillId="34" borderId="12" xfId="0" applyFont="1" applyFill="1" applyBorder="1" applyAlignment="1">
      <alignment horizontal="center" vertical="center"/>
    </xf>
    <xf numFmtId="0" fontId="37" fillId="34" borderId="11" xfId="0" applyFont="1" applyFill="1" applyBorder="1" applyAlignment="1">
      <alignment horizontal="center" vertical="center"/>
    </xf>
    <xf numFmtId="0" fontId="21" fillId="34" borderId="19" xfId="0" applyFont="1" applyFill="1" applyBorder="1" applyAlignment="1">
      <alignment horizontal="center" vertical="center"/>
    </xf>
    <xf numFmtId="0" fontId="54" fillId="0" borderId="15" xfId="0" applyFont="1" applyBorder="1" applyAlignment="1" applyProtection="1">
      <alignment horizontal="center" vertical="center"/>
      <protection locked="0"/>
    </xf>
    <xf numFmtId="0" fontId="18" fillId="35" borderId="20" xfId="0" applyFont="1" applyFill="1" applyBorder="1" applyAlignment="1">
      <alignment horizontal="center" vertical="center"/>
    </xf>
    <xf numFmtId="0" fontId="0" fillId="33" borderId="10" xfId="0" applyFill="1" applyBorder="1" applyAlignment="1">
      <alignment horizontal="left" vertical="top" wrapText="1"/>
    </xf>
    <xf numFmtId="0" fontId="0" fillId="0" borderId="0" xfId="0" applyAlignment="1" applyProtection="1">
      <alignment horizontal="center" vertical="center" wrapText="1"/>
      <protection locked="0"/>
    </xf>
    <xf numFmtId="0" fontId="39" fillId="33" borderId="0" xfId="0" applyFont="1" applyFill="1" applyAlignment="1">
      <alignment horizontal="center" vertical="center"/>
    </xf>
    <xf numFmtId="0" fontId="0" fillId="33" borderId="0" xfId="0" applyFill="1" applyAlignment="1">
      <alignment horizontal="center" vertical="center" wrapText="1"/>
    </xf>
    <xf numFmtId="0" fontId="70" fillId="33" borderId="15" xfId="0" applyFont="1" applyFill="1" applyBorder="1" applyAlignment="1">
      <alignment horizontal="center" vertical="center" wrapText="1"/>
    </xf>
    <xf numFmtId="0" fontId="0" fillId="33" borderId="0" xfId="0" applyFill="1" applyAlignment="1" applyProtection="1">
      <alignment horizontal="center" vertical="center" wrapText="1"/>
      <protection locked="0"/>
    </xf>
    <xf numFmtId="0" fontId="0" fillId="0" borderId="0" xfId="0" applyAlignment="1">
      <alignment horizontal="center" vertical="center" wrapText="1"/>
    </xf>
    <xf numFmtId="0" fontId="39" fillId="33" borderId="15" xfId="0" applyFont="1" applyFill="1" applyBorder="1" applyAlignment="1">
      <alignment vertical="center"/>
    </xf>
    <xf numFmtId="0" fontId="39" fillId="33" borderId="15" xfId="0" applyFont="1" applyFill="1" applyBorder="1" applyAlignment="1">
      <alignment horizontal="center" vertical="center"/>
    </xf>
    <xf numFmtId="0" fontId="0" fillId="35" borderId="10" xfId="0" applyFill="1" applyBorder="1" applyAlignment="1">
      <alignment vertical="center" wrapText="1"/>
    </xf>
    <xf numFmtId="0" fontId="75" fillId="35" borderId="10" xfId="0" applyFont="1" applyFill="1" applyBorder="1" applyAlignment="1">
      <alignment horizontal="center" vertical="center"/>
    </xf>
    <xf numFmtId="0" fontId="41" fillId="35" borderId="10" xfId="0" applyFont="1" applyFill="1" applyBorder="1" applyAlignment="1">
      <alignment horizontal="center" vertical="center"/>
    </xf>
    <xf numFmtId="0" fontId="0" fillId="35" borderId="10" xfId="0" applyFill="1" applyBorder="1" applyAlignment="1">
      <alignment horizontal="center" vertical="center" wrapText="1"/>
    </xf>
    <xf numFmtId="0" fontId="75" fillId="0" borderId="10" xfId="0" applyFont="1" applyBorder="1" applyAlignment="1" applyProtection="1">
      <alignment horizontal="center" vertical="center"/>
      <protection locked="0"/>
    </xf>
    <xf numFmtId="0" fontId="75" fillId="33" borderId="0" xfId="0" applyFont="1" applyFill="1" applyAlignment="1" applyProtection="1">
      <alignment horizontal="center" vertical="center"/>
      <protection locked="0"/>
    </xf>
    <xf numFmtId="0" fontId="57" fillId="35" borderId="13" xfId="0" applyFont="1" applyFill="1" applyBorder="1" applyAlignment="1">
      <alignment vertical="center"/>
    </xf>
    <xf numFmtId="0" fontId="57" fillId="35" borderId="15" xfId="0" applyFont="1" applyFill="1" applyBorder="1" applyAlignment="1">
      <alignment vertical="center"/>
    </xf>
    <xf numFmtId="0" fontId="57" fillId="35" borderId="14" xfId="0" applyFont="1" applyFill="1" applyBorder="1" applyAlignment="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21" fillId="35" borderId="10" xfId="0" applyFont="1" applyFill="1" applyBorder="1" applyAlignment="1">
      <alignment vertical="center" wrapText="1"/>
    </xf>
    <xf numFmtId="0" fontId="21" fillId="0" borderId="10" xfId="0" applyFont="1" applyBorder="1" applyAlignment="1" applyProtection="1">
      <alignment vertical="center" wrapText="1"/>
      <protection locked="0"/>
    </xf>
    <xf numFmtId="0" fontId="75" fillId="35" borderId="11" xfId="0" applyFont="1" applyFill="1" applyBorder="1" applyAlignment="1">
      <alignment horizontal="center" vertical="center"/>
    </xf>
    <xf numFmtId="0" fontId="41" fillId="35" borderId="11" xfId="0" applyFont="1" applyFill="1" applyBorder="1" applyAlignment="1">
      <alignment horizontal="center" vertical="center"/>
    </xf>
    <xf numFmtId="0" fontId="82" fillId="33" borderId="16" xfId="0" applyFont="1" applyFill="1" applyBorder="1" applyAlignment="1">
      <alignment horizontal="center" vertical="center"/>
    </xf>
    <xf numFmtId="0" fontId="23" fillId="33" borderId="10" xfId="0" applyFont="1" applyFill="1" applyBorder="1" applyAlignment="1">
      <alignment horizontal="center" vertical="center"/>
    </xf>
    <xf numFmtId="0" fontId="0" fillId="35" borderId="0" xfId="0" applyFill="1" applyAlignment="1">
      <alignment horizontal="center" vertical="center"/>
    </xf>
    <xf numFmtId="0" fontId="57" fillId="33" borderId="13" xfId="0" applyFont="1" applyFill="1" applyBorder="1" applyAlignment="1">
      <alignment horizontal="center" vertical="center" textRotation="89" wrapText="1"/>
    </xf>
    <xf numFmtId="0" fontId="57" fillId="33" borderId="15" xfId="0" applyFont="1" applyFill="1" applyBorder="1" applyAlignment="1">
      <alignment horizontal="center" vertical="center" wrapText="1"/>
    </xf>
    <xf numFmtId="0" fontId="25" fillId="33" borderId="19" xfId="0" applyFont="1" applyFill="1" applyBorder="1" applyAlignment="1">
      <alignment horizontal="center" vertical="center"/>
    </xf>
    <xf numFmtId="0" fontId="25" fillId="33" borderId="24" xfId="0" applyFont="1" applyFill="1" applyBorder="1" applyAlignment="1">
      <alignment horizontal="center" vertical="center"/>
    </xf>
    <xf numFmtId="9" fontId="89" fillId="33" borderId="16" xfId="43" applyFont="1" applyFill="1" applyBorder="1" applyAlignment="1" applyProtection="1">
      <alignment horizontal="center" vertical="center" textRotation="90"/>
    </xf>
    <xf numFmtId="0" fontId="90" fillId="0" borderId="10" xfId="0" applyFont="1" applyBorder="1" applyAlignment="1">
      <alignment horizontal="justify" vertical="center" wrapText="1"/>
    </xf>
    <xf numFmtId="0" fontId="91" fillId="0" borderId="10" xfId="0" applyFont="1" applyBorder="1" applyAlignment="1">
      <alignment horizontal="justify" vertical="center" wrapText="1"/>
    </xf>
    <xf numFmtId="0" fontId="90" fillId="0" borderId="16" xfId="0" applyFont="1" applyBorder="1" applyAlignment="1">
      <alignment horizontal="justify" vertical="center" wrapText="1"/>
    </xf>
    <xf numFmtId="0" fontId="0" fillId="35" borderId="10" xfId="0" applyFill="1" applyBorder="1" applyAlignment="1" applyProtection="1">
      <alignment horizontal="center" vertical="center" wrapText="1"/>
      <protection locked="0"/>
    </xf>
    <xf numFmtId="0" fontId="75" fillId="33" borderId="0" xfId="0" applyFont="1" applyFill="1" applyAlignment="1">
      <alignment horizontal="center" vertical="center"/>
    </xf>
    <xf numFmtId="9" fontId="77" fillId="33" borderId="0" xfId="43" applyFont="1" applyFill="1" applyBorder="1" applyAlignment="1" applyProtection="1">
      <alignment horizontal="center" vertical="center"/>
    </xf>
    <xf numFmtId="0" fontId="41" fillId="33" borderId="0" xfId="0" applyFont="1" applyFill="1" applyAlignment="1">
      <alignment horizontal="center" vertical="center"/>
    </xf>
    <xf numFmtId="9" fontId="85" fillId="33" borderId="0" xfId="43" applyFont="1" applyFill="1" applyBorder="1" applyAlignment="1" applyProtection="1">
      <alignment horizontal="center" vertical="center" textRotation="90"/>
    </xf>
    <xf numFmtId="0" fontId="75" fillId="33" borderId="22" xfId="0" applyFont="1" applyFill="1" applyBorder="1" applyAlignment="1">
      <alignment horizontal="center" vertical="center"/>
    </xf>
    <xf numFmtId="9" fontId="77" fillId="33" borderId="22" xfId="43" applyFont="1" applyFill="1" applyBorder="1" applyAlignment="1" applyProtection="1">
      <alignment horizontal="center" vertical="center"/>
    </xf>
    <xf numFmtId="9" fontId="85" fillId="33" borderId="18" xfId="43" applyFont="1" applyFill="1" applyBorder="1" applyAlignment="1" applyProtection="1">
      <alignment horizontal="center" vertical="center" textRotation="90"/>
    </xf>
    <xf numFmtId="0" fontId="0" fillId="33" borderId="19" xfId="0" applyFill="1" applyBorder="1" applyAlignment="1" applyProtection="1">
      <alignment vertical="center" wrapText="1"/>
      <protection locked="0"/>
    </xf>
    <xf numFmtId="0" fontId="41" fillId="33" borderId="0" xfId="0" applyFont="1" applyFill="1" applyAlignment="1">
      <alignment horizontal="right" vertical="center"/>
    </xf>
    <xf numFmtId="0" fontId="23" fillId="33" borderId="0" xfId="0" applyFont="1" applyFill="1" applyAlignment="1">
      <alignment horizontal="center" vertical="center"/>
    </xf>
    <xf numFmtId="0" fontId="84" fillId="35" borderId="20" xfId="0" applyFont="1" applyFill="1" applyBorder="1" applyAlignment="1">
      <alignment horizontal="left" vertical="center"/>
    </xf>
    <xf numFmtId="0" fontId="25" fillId="35" borderId="24" xfId="0" applyFont="1" applyFill="1" applyBorder="1" applyAlignment="1">
      <alignment horizontal="center" vertical="center"/>
    </xf>
    <xf numFmtId="0" fontId="23" fillId="33" borderId="10" xfId="0" applyFont="1" applyFill="1" applyBorder="1" applyAlignment="1">
      <alignment horizontal="right" vertical="center" wrapText="1"/>
    </xf>
    <xf numFmtId="9" fontId="23" fillId="33" borderId="10" xfId="43" applyFont="1" applyFill="1" applyBorder="1" applyAlignment="1" applyProtection="1">
      <alignment horizontal="right" vertical="center" wrapText="1"/>
    </xf>
    <xf numFmtId="1" fontId="23" fillId="33" borderId="10" xfId="0" applyNumberFormat="1" applyFont="1" applyFill="1" applyBorder="1" applyAlignment="1">
      <alignment horizontal="right" vertical="center" wrapText="1"/>
    </xf>
    <xf numFmtId="0" fontId="25" fillId="39" borderId="13" xfId="0" applyFont="1" applyFill="1" applyBorder="1" applyAlignment="1">
      <alignment vertical="center"/>
    </xf>
    <xf numFmtId="0" fontId="25" fillId="39" borderId="10" xfId="0" applyFont="1" applyFill="1" applyBorder="1" applyAlignment="1">
      <alignment vertical="center"/>
    </xf>
    <xf numFmtId="0" fontId="25" fillId="43" borderId="13" xfId="0" applyFont="1" applyFill="1" applyBorder="1" applyAlignment="1">
      <alignment vertical="center"/>
    </xf>
    <xf numFmtId="0" fontId="25" fillId="43" borderId="10" xfId="0" applyFont="1" applyFill="1" applyBorder="1" applyAlignment="1">
      <alignment vertical="center"/>
    </xf>
    <xf numFmtId="0" fontId="25" fillId="44" borderId="13" xfId="0" applyFont="1" applyFill="1" applyBorder="1" applyAlignment="1">
      <alignment vertical="center"/>
    </xf>
    <xf numFmtId="0" fontId="25" fillId="44" borderId="10" xfId="0" applyFont="1" applyFill="1" applyBorder="1" applyAlignment="1">
      <alignment vertical="center"/>
    </xf>
    <xf numFmtId="0" fontId="25" fillId="42" borderId="13" xfId="0" applyFont="1" applyFill="1" applyBorder="1" applyAlignment="1">
      <alignment vertical="center"/>
    </xf>
    <xf numFmtId="0" fontId="25" fillId="42" borderId="10" xfId="0" applyFont="1" applyFill="1" applyBorder="1" applyAlignment="1">
      <alignment vertical="center"/>
    </xf>
    <xf numFmtId="0" fontId="25" fillId="45" borderId="13" xfId="0" applyFont="1" applyFill="1" applyBorder="1" applyAlignment="1">
      <alignment vertical="center"/>
    </xf>
    <xf numFmtId="0" fontId="25" fillId="45" borderId="10" xfId="0" applyFont="1" applyFill="1" applyBorder="1" applyAlignment="1">
      <alignment vertical="center"/>
    </xf>
    <xf numFmtId="0" fontId="44" fillId="35" borderId="10" xfId="0" applyFont="1" applyFill="1" applyBorder="1" applyAlignment="1">
      <alignment horizontal="right" vertical="center"/>
    </xf>
    <xf numFmtId="0" fontId="25" fillId="46" borderId="13" xfId="0" applyFont="1" applyFill="1" applyBorder="1" applyAlignment="1">
      <alignment vertical="center"/>
    </xf>
    <xf numFmtId="0" fontId="25" fillId="46" borderId="10" xfId="0" applyFont="1" applyFill="1" applyBorder="1" applyAlignment="1">
      <alignment vertical="center"/>
    </xf>
    <xf numFmtId="0" fontId="0" fillId="33" borderId="19" xfId="0" applyFill="1" applyBorder="1"/>
    <xf numFmtId="0" fontId="0" fillId="33" borderId="24" xfId="0" applyFill="1" applyBorder="1" applyAlignment="1">
      <alignment horizontal="right"/>
    </xf>
    <xf numFmtId="0" fontId="93" fillId="33" borderId="20" xfId="0" applyFont="1" applyFill="1" applyBorder="1" applyProtection="1">
      <protection hidden="1"/>
    </xf>
    <xf numFmtId="9" fontId="89" fillId="33" borderId="11" xfId="43" applyFont="1" applyFill="1" applyBorder="1" applyAlignment="1" applyProtection="1">
      <alignment horizontal="center" vertical="center" textRotation="90"/>
    </xf>
    <xf numFmtId="0" fontId="20" fillId="34" borderId="10" xfId="0" applyFont="1" applyFill="1" applyBorder="1" applyAlignment="1">
      <alignment horizontal="center" vertical="center"/>
    </xf>
    <xf numFmtId="0" fontId="58" fillId="34" borderId="11" xfId="0" applyFont="1" applyFill="1" applyBorder="1" applyAlignment="1">
      <alignment horizontal="justify" vertical="center" wrapText="1"/>
    </xf>
    <xf numFmtId="0" fontId="26" fillId="0" borderId="0" xfId="0" applyFont="1" applyAlignment="1">
      <alignment vertical="center"/>
    </xf>
    <xf numFmtId="0" fontId="21" fillId="35" borderId="19" xfId="0" applyFont="1" applyFill="1" applyBorder="1" applyAlignment="1">
      <alignment horizontal="left" vertical="center"/>
    </xf>
    <xf numFmtId="0" fontId="25" fillId="35" borderId="19" xfId="0" applyFont="1" applyFill="1" applyBorder="1" applyAlignment="1">
      <alignment horizontal="left" vertical="center"/>
    </xf>
    <xf numFmtId="0" fontId="24" fillId="0" borderId="16" xfId="0" applyFont="1" applyBorder="1" applyAlignment="1">
      <alignment vertical="center"/>
    </xf>
    <xf numFmtId="0" fontId="0" fillId="0" borderId="0" xfId="0" applyAlignment="1" applyProtection="1">
      <alignment vertical="center"/>
      <protection locked="0"/>
    </xf>
    <xf numFmtId="0" fontId="0" fillId="0" borderId="0" xfId="0" applyAlignment="1">
      <alignment vertical="center"/>
    </xf>
    <xf numFmtId="0" fontId="24" fillId="0" borderId="12" xfId="0" applyFont="1" applyBorder="1" applyAlignment="1">
      <alignment vertical="center"/>
    </xf>
    <xf numFmtId="0" fontId="21" fillId="34" borderId="15" xfId="0" applyFont="1" applyFill="1" applyBorder="1" applyAlignment="1">
      <alignment horizontal="left" vertical="center"/>
    </xf>
    <xf numFmtId="0" fontId="25" fillId="34" borderId="15" xfId="0" applyFont="1" applyFill="1" applyBorder="1" applyAlignment="1">
      <alignment horizontal="left" vertical="center"/>
    </xf>
    <xf numFmtId="0" fontId="24" fillId="34" borderId="15" xfId="0" applyFont="1" applyFill="1" applyBorder="1" applyAlignment="1">
      <alignment vertical="center"/>
    </xf>
    <xf numFmtId="0" fontId="24" fillId="34" borderId="0" xfId="0" applyFont="1" applyFill="1" applyAlignment="1">
      <alignment vertical="center"/>
    </xf>
    <xf numFmtId="0" fontId="0" fillId="34" borderId="14" xfId="0" applyFill="1" applyBorder="1" applyAlignment="1" applyProtection="1">
      <alignment vertical="center"/>
      <protection locked="0"/>
    </xf>
    <xf numFmtId="0" fontId="21" fillId="33" borderId="11" xfId="0" applyFont="1" applyFill="1" applyBorder="1" applyAlignment="1">
      <alignment horizontal="left" vertical="center"/>
    </xf>
    <xf numFmtId="0" fontId="31" fillId="34" borderId="11" xfId="0" applyFont="1" applyFill="1" applyBorder="1" applyAlignment="1">
      <alignment vertical="center"/>
    </xf>
    <xf numFmtId="0" fontId="48" fillId="34" borderId="23" xfId="0" applyFont="1" applyFill="1" applyBorder="1" applyAlignment="1">
      <alignment vertical="center"/>
    </xf>
    <xf numFmtId="0" fontId="21" fillId="0" borderId="15" xfId="0" applyFont="1" applyBorder="1" applyAlignment="1">
      <alignment horizontal="left" vertical="center"/>
    </xf>
    <xf numFmtId="0" fontId="16" fillId="0" borderId="15" xfId="0" applyFont="1" applyBorder="1" applyAlignment="1">
      <alignment horizontal="left" vertical="center"/>
    </xf>
    <xf numFmtId="0" fontId="24" fillId="0" borderId="15" xfId="0" applyFont="1" applyBorder="1" applyAlignment="1">
      <alignment vertical="center"/>
    </xf>
    <xf numFmtId="0" fontId="31" fillId="0" borderId="15" xfId="0" applyFont="1" applyBorder="1" applyAlignment="1">
      <alignment vertical="center"/>
    </xf>
    <xf numFmtId="0" fontId="48" fillId="0" borderId="15" xfId="0" applyFont="1" applyBorder="1" applyAlignment="1">
      <alignment vertical="center"/>
    </xf>
    <xf numFmtId="0" fontId="21" fillId="34" borderId="19" xfId="0" applyFont="1" applyFill="1" applyBorder="1" applyAlignment="1">
      <alignment horizontal="left" vertical="center"/>
    </xf>
    <xf numFmtId="0" fontId="16" fillId="34" borderId="19" xfId="0" applyFont="1" applyFill="1" applyBorder="1" applyAlignment="1">
      <alignment horizontal="left" vertical="center" wrapText="1"/>
    </xf>
    <xf numFmtId="0" fontId="24" fillId="34" borderId="19" xfId="0" applyFont="1" applyFill="1" applyBorder="1" applyAlignment="1">
      <alignment vertical="center"/>
    </xf>
    <xf numFmtId="0" fontId="21" fillId="34" borderId="10" xfId="0" applyFont="1" applyFill="1" applyBorder="1" applyAlignment="1">
      <alignment horizontal="left" vertical="center"/>
    </xf>
    <xf numFmtId="0" fontId="32" fillId="34" borderId="10" xfId="0" applyFont="1" applyFill="1" applyBorder="1" applyAlignment="1">
      <alignment horizontal="left" vertical="center"/>
    </xf>
    <xf numFmtId="0" fontId="24" fillId="34" borderId="10" xfId="0" applyFont="1" applyFill="1" applyBorder="1" applyAlignment="1">
      <alignment vertical="center"/>
    </xf>
    <xf numFmtId="0" fontId="32" fillId="34" borderId="15" xfId="0" applyFont="1" applyFill="1" applyBorder="1" applyAlignment="1">
      <alignment horizontal="left" vertical="center"/>
    </xf>
    <xf numFmtId="0" fontId="32" fillId="34" borderId="14" xfId="0" applyFont="1" applyFill="1" applyBorder="1" applyAlignment="1" applyProtection="1">
      <alignment horizontal="left" vertical="center"/>
      <protection locked="0"/>
    </xf>
    <xf numFmtId="0" fontId="32" fillId="0" borderId="18" xfId="0" applyFont="1" applyBorder="1" applyAlignment="1">
      <alignment horizontal="left" vertical="center"/>
    </xf>
    <xf numFmtId="0" fontId="24" fillId="0" borderId="18" xfId="0" applyFont="1" applyBorder="1" applyAlignment="1">
      <alignment vertical="center"/>
    </xf>
    <xf numFmtId="0" fontId="24" fillId="0" borderId="21" xfId="0" applyFont="1" applyBorder="1" applyAlignment="1">
      <alignment vertical="center"/>
    </xf>
    <xf numFmtId="0" fontId="23" fillId="0" borderId="18" xfId="0" applyFont="1" applyBorder="1" applyAlignment="1">
      <alignment horizontal="left" vertical="center" wrapText="1"/>
    </xf>
    <xf numFmtId="0" fontId="24" fillId="0" borderId="21" xfId="0" applyFont="1" applyBorder="1" applyAlignment="1" applyProtection="1">
      <alignment vertical="center"/>
      <protection locked="0"/>
    </xf>
    <xf numFmtId="0" fontId="0" fillId="33" borderId="0" xfId="0" applyFill="1" applyAlignment="1" applyProtection="1">
      <alignment vertical="center"/>
      <protection locked="0"/>
    </xf>
    <xf numFmtId="0" fontId="0" fillId="33" borderId="0" xfId="0" applyFill="1" applyAlignment="1">
      <alignment vertical="center"/>
    </xf>
    <xf numFmtId="0" fontId="30" fillId="0" borderId="15" xfId="0" applyFont="1" applyBorder="1" applyAlignment="1">
      <alignment vertical="center"/>
    </xf>
    <xf numFmtId="0" fontId="24" fillId="0" borderId="15" xfId="0" applyFont="1" applyBorder="1" applyAlignment="1" applyProtection="1">
      <alignment vertical="center"/>
      <protection locked="0"/>
    </xf>
    <xf numFmtId="0" fontId="0" fillId="0" borderId="15" xfId="0" applyBorder="1" applyAlignment="1" applyProtection="1">
      <alignment vertical="center"/>
      <protection locked="0"/>
    </xf>
    <xf numFmtId="0" fontId="0" fillId="0" borderId="10" xfId="0" applyBorder="1" applyAlignment="1">
      <alignment vertical="center" wrapText="1"/>
    </xf>
    <xf numFmtId="0" fontId="24" fillId="0" borderId="11" xfId="0" applyFont="1" applyBorder="1" applyAlignment="1">
      <alignment vertical="center"/>
    </xf>
    <xf numFmtId="0" fontId="48" fillId="0" borderId="11" xfId="0" applyFont="1" applyBorder="1" applyAlignment="1">
      <alignment vertical="center"/>
    </xf>
    <xf numFmtId="0" fontId="0" fillId="0" borderId="15" xfId="0" applyBorder="1" applyAlignment="1">
      <alignment vertical="center"/>
    </xf>
    <xf numFmtId="0" fontId="24" fillId="34" borderId="16" xfId="0" applyFont="1" applyFill="1" applyBorder="1" applyAlignment="1">
      <alignment vertical="center"/>
    </xf>
    <xf numFmtId="0" fontId="24" fillId="34" borderId="18" xfId="0" applyFont="1" applyFill="1" applyBorder="1" applyAlignment="1">
      <alignment vertical="center"/>
    </xf>
    <xf numFmtId="0" fontId="30" fillId="34" borderId="16" xfId="0" applyFont="1" applyFill="1" applyBorder="1" applyAlignment="1">
      <alignment vertical="center"/>
    </xf>
    <xf numFmtId="0" fontId="24" fillId="34" borderId="21" xfId="0" applyFont="1" applyFill="1" applyBorder="1" applyAlignment="1">
      <alignment vertical="center"/>
    </xf>
    <xf numFmtId="0" fontId="0" fillId="0" borderId="12" xfId="0" applyBorder="1" applyAlignment="1">
      <alignment vertical="center" wrapText="1"/>
    </xf>
    <xf numFmtId="0" fontId="30" fillId="0" borderId="12" xfId="0" applyFont="1" applyBorder="1" applyAlignment="1">
      <alignment vertical="center"/>
    </xf>
    <xf numFmtId="0" fontId="20" fillId="34" borderId="15" xfId="0" applyFont="1" applyFill="1" applyBorder="1" applyAlignment="1">
      <alignment horizontal="left" vertical="center"/>
    </xf>
    <xf numFmtId="0" fontId="30" fillId="34" borderId="15" xfId="0" applyFont="1" applyFill="1" applyBorder="1" applyAlignment="1">
      <alignment vertical="center"/>
    </xf>
    <xf numFmtId="0" fontId="0" fillId="34" borderId="15" xfId="0" applyFill="1" applyBorder="1" applyAlignment="1">
      <alignment vertical="center"/>
    </xf>
    <xf numFmtId="0" fontId="0" fillId="0" borderId="10" xfId="0" applyBorder="1" applyAlignment="1">
      <alignment vertical="center"/>
    </xf>
    <xf numFmtId="0" fontId="0" fillId="0" borderId="10" xfId="0" applyBorder="1" applyAlignment="1" applyProtection="1">
      <alignment vertical="center"/>
      <protection locked="0"/>
    </xf>
    <xf numFmtId="43" fontId="24" fillId="34" borderId="19" xfId="42" applyFont="1" applyFill="1" applyBorder="1" applyAlignment="1" applyProtection="1">
      <alignment vertical="center"/>
    </xf>
    <xf numFmtId="0" fontId="24" fillId="0" borderId="10" xfId="0" applyFont="1" applyBorder="1" applyAlignment="1">
      <alignment vertical="center"/>
    </xf>
    <xf numFmtId="0" fontId="30" fillId="0" borderId="10" xfId="0" applyFont="1" applyBorder="1" applyAlignment="1">
      <alignment vertical="center"/>
    </xf>
    <xf numFmtId="0" fontId="26"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19" fillId="0" borderId="0" xfId="0" applyFont="1" applyAlignment="1" applyProtection="1">
      <alignment vertical="center"/>
      <protection locked="0"/>
    </xf>
    <xf numFmtId="0" fontId="30" fillId="0" borderId="0" xfId="0" applyFont="1" applyAlignment="1" applyProtection="1">
      <alignment vertical="center"/>
      <protection locked="0"/>
    </xf>
    <xf numFmtId="0" fontId="21" fillId="0" borderId="0" xfId="0" applyFont="1" applyAlignment="1">
      <alignment horizontal="left" vertical="center"/>
    </xf>
    <xf numFmtId="0" fontId="0" fillId="0" borderId="0" xfId="0" applyAlignment="1">
      <alignment vertical="center" wrapText="1"/>
    </xf>
    <xf numFmtId="0" fontId="19" fillId="0" borderId="0" xfId="0" applyFont="1" applyAlignment="1">
      <alignment vertical="center"/>
    </xf>
    <xf numFmtId="0" fontId="30" fillId="0" borderId="0" xfId="0" applyFont="1" applyAlignment="1">
      <alignment vertical="center"/>
    </xf>
    <xf numFmtId="0" fontId="26" fillId="33" borderId="0" xfId="0" applyFont="1" applyFill="1" applyAlignment="1">
      <alignment vertical="center"/>
    </xf>
    <xf numFmtId="0" fontId="21" fillId="35" borderId="0" xfId="0" applyFont="1" applyFill="1" applyAlignment="1">
      <alignment horizontal="left" vertical="center"/>
    </xf>
    <xf numFmtId="0" fontId="25" fillId="35" borderId="0" xfId="0" applyFont="1" applyFill="1" applyAlignment="1">
      <alignment horizontal="left" vertical="center"/>
    </xf>
    <xf numFmtId="0" fontId="24" fillId="34" borderId="0" xfId="0" applyFont="1" applyFill="1" applyAlignment="1" applyProtection="1">
      <alignment vertical="center"/>
      <protection locked="0"/>
    </xf>
    <xf numFmtId="0" fontId="19" fillId="33" borderId="16" xfId="0" applyFont="1" applyFill="1" applyBorder="1" applyAlignment="1">
      <alignment horizontal="left" vertical="center" wrapText="1"/>
    </xf>
    <xf numFmtId="0" fontId="48" fillId="34" borderId="23" xfId="0" applyFont="1" applyFill="1" applyBorder="1" applyAlignment="1" applyProtection="1">
      <alignment vertical="center"/>
      <protection locked="0"/>
    </xf>
    <xf numFmtId="0" fontId="48" fillId="0" borderId="15" xfId="0" applyFont="1" applyBorder="1" applyAlignment="1" applyProtection="1">
      <alignment vertical="center"/>
      <protection locked="0"/>
    </xf>
    <xf numFmtId="0" fontId="0" fillId="34" borderId="15" xfId="0" applyFill="1" applyBorder="1" applyAlignment="1" applyProtection="1">
      <alignment vertical="center"/>
      <protection locked="0"/>
    </xf>
    <xf numFmtId="0" fontId="31" fillId="34" borderId="10" xfId="0" applyFont="1" applyFill="1" applyBorder="1" applyAlignment="1">
      <alignment vertical="center"/>
    </xf>
    <xf numFmtId="0" fontId="24" fillId="34" borderId="12" xfId="0" applyFont="1" applyFill="1" applyBorder="1" applyAlignment="1">
      <alignment vertical="center"/>
    </xf>
    <xf numFmtId="0" fontId="30" fillId="34" borderId="12" xfId="0" applyFont="1" applyFill="1" applyBorder="1" applyAlignment="1">
      <alignment vertical="center"/>
    </xf>
    <xf numFmtId="0" fontId="0" fillId="34" borderId="0" xfId="0" applyFill="1" applyAlignment="1">
      <alignment vertical="center"/>
    </xf>
    <xf numFmtId="0" fontId="0" fillId="34" borderId="0" xfId="0" applyFill="1" applyAlignment="1" applyProtection="1">
      <alignment vertical="center"/>
      <protection locked="0"/>
    </xf>
    <xf numFmtId="0" fontId="0" fillId="0" borderId="12" xfId="0" applyBorder="1" applyAlignment="1" applyProtection="1">
      <alignment vertical="center"/>
      <protection locked="0"/>
    </xf>
    <xf numFmtId="0" fontId="25" fillId="34" borderId="15" xfId="0" applyFont="1" applyFill="1" applyBorder="1" applyAlignment="1">
      <alignment vertical="center" wrapText="1"/>
    </xf>
    <xf numFmtId="0" fontId="32" fillId="34" borderId="16" xfId="0" applyFont="1" applyFill="1" applyBorder="1" applyAlignment="1" applyProtection="1">
      <alignment horizontal="left" vertical="center"/>
      <protection locked="0"/>
    </xf>
    <xf numFmtId="0" fontId="19" fillId="0" borderId="15" xfId="0" applyFont="1" applyBorder="1" applyAlignment="1">
      <alignment horizontal="left" vertical="center"/>
    </xf>
    <xf numFmtId="0" fontId="0" fillId="34" borderId="14" xfId="0" applyFill="1" applyBorder="1" applyAlignment="1">
      <alignment vertical="center"/>
    </xf>
    <xf numFmtId="0" fontId="0" fillId="0" borderId="12" xfId="0" applyBorder="1" applyAlignment="1">
      <alignment vertical="center"/>
    </xf>
    <xf numFmtId="0" fontId="21" fillId="0" borderId="10" xfId="0" applyFont="1" applyBorder="1" applyAlignment="1">
      <alignment horizontal="left" vertical="center"/>
    </xf>
    <xf numFmtId="0" fontId="19" fillId="0" borderId="10" xfId="0" applyFont="1" applyBorder="1" applyAlignment="1">
      <alignment vertical="center"/>
    </xf>
    <xf numFmtId="0" fontId="30" fillId="34" borderId="10" xfId="0" applyFont="1" applyFill="1" applyBorder="1" applyAlignment="1">
      <alignment vertical="center"/>
    </xf>
    <xf numFmtId="0" fontId="24" fillId="0" borderId="10" xfId="0" applyFont="1" applyBorder="1" applyAlignment="1" applyProtection="1">
      <alignment vertical="center"/>
      <protection locked="0"/>
    </xf>
    <xf numFmtId="0" fontId="30" fillId="34" borderId="18" xfId="0" applyFont="1" applyFill="1" applyBorder="1" applyAlignment="1">
      <alignment vertical="center"/>
    </xf>
    <xf numFmtId="0" fontId="19" fillId="0" borderId="15" xfId="0" applyFont="1" applyBorder="1" applyAlignment="1">
      <alignment horizontal="left" vertical="center" wrapText="1"/>
    </xf>
    <xf numFmtId="0" fontId="20" fillId="34" borderId="19" xfId="0" applyFont="1" applyFill="1" applyBorder="1" applyAlignment="1">
      <alignment horizontal="left" vertical="center"/>
    </xf>
    <xf numFmtId="0" fontId="30" fillId="34" borderId="19" xfId="0" applyFont="1" applyFill="1" applyBorder="1" applyAlignment="1">
      <alignment vertical="center"/>
    </xf>
    <xf numFmtId="0" fontId="30" fillId="34" borderId="20" xfId="0" applyFont="1" applyFill="1" applyBorder="1" applyAlignment="1">
      <alignment vertical="center"/>
    </xf>
    <xf numFmtId="0" fontId="0" fillId="34" borderId="10" xfId="0" applyFill="1" applyBorder="1" applyAlignment="1">
      <alignment vertical="center"/>
    </xf>
    <xf numFmtId="0" fontId="30" fillId="0" borderId="13" xfId="0" applyFont="1" applyBorder="1" applyAlignment="1">
      <alignment vertical="center"/>
    </xf>
    <xf numFmtId="0" fontId="19" fillId="0" borderId="11" xfId="0" applyFont="1" applyBorder="1" applyAlignment="1">
      <alignment vertical="center"/>
    </xf>
    <xf numFmtId="0" fontId="30" fillId="34" borderId="13" xfId="0" applyFont="1" applyFill="1" applyBorder="1" applyAlignment="1">
      <alignment vertical="center"/>
    </xf>
    <xf numFmtId="0" fontId="0" fillId="35" borderId="0" xfId="0" applyFill="1" applyAlignment="1">
      <alignment vertical="center"/>
    </xf>
    <xf numFmtId="0" fontId="20" fillId="35" borderId="0" xfId="0" applyFont="1" applyFill="1" applyAlignment="1">
      <alignment vertical="center"/>
    </xf>
    <xf numFmtId="0" fontId="0" fillId="35" borderId="0" xfId="0" applyFill="1" applyAlignment="1" applyProtection="1">
      <alignment vertical="center"/>
      <protection locked="0"/>
    </xf>
    <xf numFmtId="1" fontId="69" fillId="33" borderId="0" xfId="0" quotePrefix="1" applyNumberFormat="1" applyFont="1" applyFill="1" applyAlignment="1">
      <alignment vertical="center"/>
    </xf>
    <xf numFmtId="0" fontId="21" fillId="0" borderId="0" xfId="0" applyFont="1" applyAlignment="1" applyProtection="1">
      <alignment vertical="center"/>
      <protection locked="0"/>
    </xf>
    <xf numFmtId="0" fontId="72" fillId="33" borderId="0" xfId="0" applyFont="1" applyFill="1" applyAlignment="1">
      <alignment horizontal="center" vertical="center" textRotation="90"/>
    </xf>
    <xf numFmtId="0" fontId="25" fillId="33" borderId="0" xfId="0" applyFont="1" applyFill="1" applyAlignment="1">
      <alignment horizontal="center" vertical="center"/>
    </xf>
    <xf numFmtId="0" fontId="25" fillId="33" borderId="16" xfId="0" applyFont="1" applyFill="1" applyBorder="1" applyAlignment="1">
      <alignment horizontal="center" vertical="center"/>
    </xf>
    <xf numFmtId="0" fontId="73" fillId="35" borderId="10" xfId="0" applyFont="1" applyFill="1" applyBorder="1" applyAlignment="1">
      <alignment horizontal="center" vertical="center" textRotation="90" wrapText="1"/>
    </xf>
    <xf numFmtId="0" fontId="73" fillId="40" borderId="10" xfId="0" applyFont="1" applyFill="1" applyBorder="1" applyAlignment="1">
      <alignment horizontal="center" vertical="center" textRotation="90" wrapText="1"/>
    </xf>
    <xf numFmtId="0" fontId="74" fillId="35" borderId="10" xfId="0" applyFont="1" applyFill="1" applyBorder="1" applyAlignment="1">
      <alignment horizontal="center" vertical="center" wrapText="1"/>
    </xf>
    <xf numFmtId="0" fontId="16" fillId="33" borderId="18" xfId="0" applyFont="1" applyFill="1" applyBorder="1" applyAlignment="1">
      <alignment horizontal="center" vertical="center"/>
    </xf>
    <xf numFmtId="0" fontId="73" fillId="40" borderId="10" xfId="0" applyFont="1" applyFill="1" applyBorder="1" applyAlignment="1">
      <alignment horizontal="center" vertical="center" wrapText="1"/>
    </xf>
    <xf numFmtId="0" fontId="20" fillId="35" borderId="10" xfId="0" applyFont="1" applyFill="1" applyBorder="1" applyAlignment="1" applyProtection="1">
      <alignment horizontal="center" vertical="center" textRotation="90"/>
      <protection locked="0"/>
    </xf>
    <xf numFmtId="0" fontId="36" fillId="35" borderId="10" xfId="0" applyFont="1" applyFill="1" applyBorder="1" applyAlignment="1" applyProtection="1">
      <alignment horizontal="center" vertical="center"/>
      <protection locked="0"/>
    </xf>
    <xf numFmtId="0" fontId="20" fillId="35" borderId="10" xfId="0" applyFont="1" applyFill="1" applyBorder="1" applyAlignment="1" applyProtection="1">
      <alignment horizontal="center" vertical="center" wrapText="1"/>
      <protection locked="0"/>
    </xf>
    <xf numFmtId="0" fontId="16" fillId="33" borderId="15" xfId="0" applyFont="1" applyFill="1" applyBorder="1" applyAlignment="1">
      <alignment horizontal="center" vertical="center"/>
    </xf>
    <xf numFmtId="0" fontId="16" fillId="33" borderId="0" xfId="0" applyFont="1" applyFill="1" applyAlignment="1">
      <alignment horizontal="center" vertical="center"/>
    </xf>
    <xf numFmtId="0" fontId="21" fillId="0" borderId="0" xfId="0" applyFont="1" applyAlignment="1">
      <alignment vertical="center"/>
    </xf>
    <xf numFmtId="0" fontId="57" fillId="35" borderId="10" xfId="0" applyFont="1" applyFill="1" applyBorder="1" applyAlignment="1">
      <alignment vertical="center" wrapText="1"/>
    </xf>
    <xf numFmtId="0" fontId="25" fillId="33" borderId="16" xfId="0" applyFont="1" applyFill="1" applyBorder="1" applyAlignment="1">
      <alignment vertical="center"/>
    </xf>
    <xf numFmtId="0" fontId="87" fillId="33" borderId="16" xfId="0" applyFont="1" applyFill="1" applyBorder="1" applyAlignment="1">
      <alignment vertical="center"/>
    </xf>
    <xf numFmtId="0" fontId="76" fillId="33" borderId="18" xfId="0" applyFont="1" applyFill="1" applyBorder="1" applyAlignment="1">
      <alignment horizontal="center" vertical="center"/>
    </xf>
    <xf numFmtId="0" fontId="75" fillId="35" borderId="10" xfId="0" applyFont="1" applyFill="1" applyBorder="1" applyAlignment="1" applyProtection="1">
      <alignment vertical="center"/>
      <protection locked="0"/>
    </xf>
    <xf numFmtId="0" fontId="41" fillId="35" borderId="10" xfId="0" applyFont="1" applyFill="1" applyBorder="1" applyAlignment="1" applyProtection="1">
      <alignment vertical="center"/>
      <protection locked="0"/>
    </xf>
    <xf numFmtId="0" fontId="75" fillId="35" borderId="14" xfId="0" applyFont="1" applyFill="1" applyBorder="1" applyAlignment="1" applyProtection="1">
      <alignment vertical="center"/>
      <protection locked="0"/>
    </xf>
    <xf numFmtId="0" fontId="81" fillId="0" borderId="10"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41" borderId="10" xfId="0" quotePrefix="1" applyFont="1" applyFill="1" applyBorder="1" applyAlignment="1" applyProtection="1">
      <alignment horizontal="center" vertical="center"/>
      <protection locked="0"/>
    </xf>
    <xf numFmtId="9" fontId="44" fillId="33" borderId="10" xfId="0" applyNumberFormat="1" applyFont="1" applyFill="1" applyBorder="1" applyAlignment="1">
      <alignment horizontal="right" vertical="center"/>
    </xf>
    <xf numFmtId="0" fontId="52" fillId="0" borderId="10" xfId="0" applyFont="1" applyBorder="1" applyAlignment="1" applyProtection="1">
      <alignment vertical="center"/>
      <protection locked="0"/>
    </xf>
    <xf numFmtId="0" fontId="52" fillId="0" borderId="14" xfId="0" applyFont="1" applyBorder="1" applyAlignment="1" applyProtection="1">
      <alignment vertical="center"/>
      <protection locked="0"/>
    </xf>
    <xf numFmtId="0" fontId="21" fillId="33" borderId="0" xfId="0" applyFont="1" applyFill="1" applyAlignment="1">
      <alignment vertical="center"/>
    </xf>
    <xf numFmtId="0" fontId="25" fillId="35" borderId="16" xfId="0" applyFont="1" applyFill="1" applyBorder="1" applyAlignment="1">
      <alignment vertical="center"/>
    </xf>
    <xf numFmtId="0" fontId="25" fillId="33" borderId="0" xfId="0" applyFont="1" applyFill="1" applyAlignment="1">
      <alignment vertical="center"/>
    </xf>
    <xf numFmtId="0" fontId="86" fillId="33" borderId="22" xfId="0" applyFont="1" applyFill="1" applyBorder="1" applyAlignment="1">
      <alignment vertical="center"/>
    </xf>
    <xf numFmtId="0" fontId="83" fillId="33" borderId="0" xfId="0" applyFont="1" applyFill="1" applyAlignment="1">
      <alignment horizontal="center" vertical="center"/>
    </xf>
    <xf numFmtId="0" fontId="76" fillId="33" borderId="0" xfId="0" applyFont="1" applyFill="1" applyAlignment="1">
      <alignment horizontal="center" vertical="center"/>
    </xf>
    <xf numFmtId="0" fontId="86" fillId="33" borderId="0" xfId="0" applyFont="1" applyFill="1" applyAlignment="1">
      <alignment vertical="center"/>
    </xf>
    <xf numFmtId="0" fontId="25" fillId="35" borderId="24" xfId="0" applyFont="1" applyFill="1" applyBorder="1" applyAlignment="1">
      <alignment vertical="center"/>
    </xf>
    <xf numFmtId="0" fontId="57" fillId="33" borderId="19" xfId="0" applyFont="1" applyFill="1" applyBorder="1" applyAlignment="1" applyProtection="1">
      <alignment vertical="center" wrapText="1"/>
      <protection locked="0"/>
    </xf>
    <xf numFmtId="0" fontId="57" fillId="33" borderId="24" xfId="0" applyFont="1" applyFill="1" applyBorder="1" applyAlignment="1" applyProtection="1">
      <alignment vertical="center" wrapText="1"/>
      <protection locked="0"/>
    </xf>
    <xf numFmtId="0" fontId="25" fillId="33" borderId="0" xfId="0" applyFont="1" applyFill="1" applyAlignment="1" applyProtection="1">
      <alignment vertical="center"/>
      <protection locked="0"/>
    </xf>
    <xf numFmtId="0" fontId="75" fillId="33" borderId="0" xfId="0" applyFont="1" applyFill="1" applyAlignment="1" applyProtection="1">
      <alignment vertical="center"/>
      <protection locked="0"/>
    </xf>
    <xf numFmtId="0" fontId="78" fillId="0" borderId="13" xfId="0" applyFont="1" applyBorder="1" applyAlignment="1" applyProtection="1">
      <alignment vertical="center"/>
      <protection locked="0"/>
    </xf>
    <xf numFmtId="0" fontId="57" fillId="33" borderId="10" xfId="0" applyFont="1" applyFill="1" applyBorder="1" applyAlignment="1">
      <alignment vertical="center" wrapText="1"/>
    </xf>
    <xf numFmtId="0" fontId="24" fillId="34" borderId="12" xfId="0" applyFont="1" applyFill="1" applyBorder="1" applyAlignment="1" applyProtection="1">
      <alignment vertical="center"/>
      <protection locked="0"/>
    </xf>
    <xf numFmtId="0" fontId="24" fillId="0" borderId="0" xfId="0" applyFont="1" applyAlignment="1" applyProtection="1">
      <alignment vertical="center"/>
      <protection locked="0"/>
    </xf>
    <xf numFmtId="0" fontId="0" fillId="34" borderId="10" xfId="0" applyFill="1" applyBorder="1" applyAlignment="1" applyProtection="1">
      <alignment vertical="center"/>
      <protection locked="0"/>
    </xf>
    <xf numFmtId="0" fontId="62" fillId="34" borderId="10" xfId="0" applyFont="1" applyFill="1" applyBorder="1" applyAlignment="1">
      <alignment horizontal="center" vertical="center"/>
    </xf>
    <xf numFmtId="0" fontId="47" fillId="34" borderId="10" xfId="0" applyFont="1" applyFill="1" applyBorder="1" applyAlignment="1">
      <alignment horizontal="center" vertical="center" wrapText="1"/>
    </xf>
    <xf numFmtId="0" fontId="0" fillId="33" borderId="10" xfId="0" applyFill="1" applyBorder="1" applyAlignment="1">
      <alignment vertical="center"/>
    </xf>
    <xf numFmtId="9" fontId="20" fillId="34" borderId="10" xfId="0" applyNumberFormat="1" applyFont="1" applyFill="1" applyBorder="1" applyAlignment="1" applyProtection="1">
      <alignment vertical="center"/>
      <protection hidden="1"/>
    </xf>
    <xf numFmtId="1" fontId="68" fillId="34" borderId="10" xfId="0" applyNumberFormat="1" applyFont="1" applyFill="1" applyBorder="1" applyAlignment="1">
      <alignment vertical="center"/>
    </xf>
    <xf numFmtId="9" fontId="19" fillId="34" borderId="10" xfId="0" applyNumberFormat="1" applyFont="1" applyFill="1" applyBorder="1" applyAlignment="1">
      <alignment vertical="center"/>
    </xf>
    <xf numFmtId="9" fontId="65" fillId="33" borderId="10" xfId="43" applyFont="1" applyFill="1" applyBorder="1" applyAlignment="1" applyProtection="1">
      <alignment vertical="center"/>
      <protection hidden="1"/>
    </xf>
    <xf numFmtId="164" fontId="42" fillId="33" borderId="10" xfId="0" applyNumberFormat="1" applyFont="1" applyFill="1" applyBorder="1" applyAlignment="1">
      <alignment vertical="center"/>
    </xf>
    <xf numFmtId="1" fontId="44" fillId="34" borderId="10" xfId="0" applyNumberFormat="1" applyFont="1" applyFill="1" applyBorder="1" applyAlignment="1">
      <alignment vertical="center"/>
    </xf>
    <xf numFmtId="9" fontId="20" fillId="33" borderId="10" xfId="43" applyFont="1" applyFill="1" applyBorder="1" applyAlignment="1" applyProtection="1">
      <alignment vertical="center"/>
      <protection hidden="1"/>
    </xf>
    <xf numFmtId="1" fontId="16" fillId="34" borderId="10" xfId="0" applyNumberFormat="1" applyFont="1" applyFill="1" applyBorder="1" applyAlignment="1">
      <alignment vertical="center"/>
    </xf>
    <xf numFmtId="9" fontId="20" fillId="34" borderId="10" xfId="0" applyNumberFormat="1" applyFont="1" applyFill="1" applyBorder="1" applyAlignment="1">
      <alignment vertical="center"/>
    </xf>
    <xf numFmtId="9" fontId="20" fillId="33" borderId="10" xfId="43" applyFont="1" applyFill="1" applyBorder="1" applyAlignment="1" applyProtection="1">
      <alignment horizontal="right" vertical="center"/>
      <protection hidden="1"/>
    </xf>
    <xf numFmtId="1" fontId="68" fillId="34" borderId="10" xfId="0" applyNumberFormat="1" applyFont="1" applyFill="1" applyBorder="1" applyAlignment="1">
      <alignment horizontal="right" vertical="center"/>
    </xf>
    <xf numFmtId="9" fontId="19" fillId="33" borderId="10" xfId="0" applyNumberFormat="1" applyFont="1" applyFill="1" applyBorder="1" applyAlignment="1">
      <alignment vertical="center"/>
    </xf>
    <xf numFmtId="0" fontId="0" fillId="34" borderId="10" xfId="0" applyFill="1" applyBorder="1" applyAlignment="1">
      <alignment horizontal="center" vertical="center"/>
    </xf>
    <xf numFmtId="0" fontId="91" fillId="33" borderId="10" xfId="0" applyFont="1" applyFill="1" applyBorder="1" applyAlignment="1">
      <alignment horizontal="center" vertical="center" wrapText="1"/>
    </xf>
    <xf numFmtId="0" fontId="39" fillId="43" borderId="13" xfId="0" applyFont="1" applyFill="1" applyBorder="1" applyAlignment="1">
      <alignment vertical="center"/>
    </xf>
    <xf numFmtId="0" fontId="59" fillId="48" borderId="12" xfId="0" applyFont="1" applyFill="1" applyBorder="1" applyAlignment="1">
      <alignment horizontal="right" vertical="center" wrapText="1"/>
    </xf>
    <xf numFmtId="1" fontId="16" fillId="48" borderId="10" xfId="0" applyNumberFormat="1" applyFont="1" applyFill="1" applyBorder="1" applyAlignment="1">
      <alignment vertical="center"/>
    </xf>
    <xf numFmtId="9" fontId="16" fillId="48" borderId="10" xfId="0" applyNumberFormat="1" applyFont="1" applyFill="1" applyBorder="1" applyAlignment="1">
      <alignment vertical="center"/>
    </xf>
    <xf numFmtId="0" fontId="22" fillId="34" borderId="10" xfId="0" applyFont="1" applyFill="1" applyBorder="1" applyAlignment="1">
      <alignment horizontal="center" vertical="center" wrapText="1"/>
    </xf>
    <xf numFmtId="0" fontId="52" fillId="34" borderId="12" xfId="0" applyFont="1" applyFill="1" applyBorder="1" applyAlignment="1">
      <alignment horizontal="center" vertical="center"/>
    </xf>
    <xf numFmtId="0" fontId="0" fillId="34" borderId="12" xfId="0" applyFill="1" applyBorder="1" applyAlignment="1">
      <alignment vertical="center"/>
    </xf>
    <xf numFmtId="0" fontId="52" fillId="34" borderId="13" xfId="0" applyFont="1" applyFill="1" applyBorder="1" applyAlignment="1">
      <alignment horizontal="center" vertical="center"/>
    </xf>
    <xf numFmtId="9" fontId="41" fillId="34" borderId="12" xfId="43" applyFont="1" applyFill="1" applyBorder="1" applyAlignment="1">
      <alignment horizontal="center" vertical="center"/>
    </xf>
    <xf numFmtId="9" fontId="41" fillId="34" borderId="10" xfId="43" applyFont="1" applyFill="1" applyBorder="1" applyAlignment="1">
      <alignment horizontal="center" vertical="center"/>
    </xf>
    <xf numFmtId="9" fontId="56" fillId="34" borderId="10" xfId="43" applyFont="1" applyFill="1" applyBorder="1" applyAlignment="1" applyProtection="1">
      <alignment horizontal="center" vertical="center" textRotation="90"/>
    </xf>
    <xf numFmtId="0" fontId="23" fillId="34" borderId="18" xfId="0" applyFont="1" applyFill="1" applyBorder="1" applyAlignment="1">
      <alignment horizontal="left" vertical="center" wrapText="1"/>
    </xf>
    <xf numFmtId="0" fontId="32" fillId="34" borderId="10" xfId="0" applyFont="1" applyFill="1" applyBorder="1" applyAlignment="1" applyProtection="1">
      <alignment horizontal="left" vertical="center"/>
      <protection locked="0"/>
    </xf>
    <xf numFmtId="0" fontId="96" fillId="34" borderId="10" xfId="0" applyFont="1" applyFill="1" applyBorder="1" applyAlignment="1">
      <alignment horizontal="right" vertical="center" wrapText="1"/>
    </xf>
    <xf numFmtId="0" fontId="57" fillId="34" borderId="15" xfId="0" applyFont="1" applyFill="1" applyBorder="1" applyAlignment="1">
      <alignment vertical="center" wrapText="1"/>
    </xf>
    <xf numFmtId="0" fontId="33" fillId="0" borderId="12" xfId="0" applyFont="1" applyBorder="1" applyAlignment="1">
      <alignment vertical="center" wrapText="1"/>
    </xf>
    <xf numFmtId="0" fontId="33" fillId="34" borderId="10" xfId="0" applyFont="1" applyFill="1" applyBorder="1" applyAlignment="1">
      <alignment vertical="center" wrapText="1"/>
    </xf>
    <xf numFmtId="0" fontId="57" fillId="33" borderId="11" xfId="0" applyFont="1" applyFill="1" applyBorder="1" applyAlignment="1">
      <alignment vertical="center" wrapText="1"/>
    </xf>
    <xf numFmtId="0" fontId="48" fillId="0" borderId="10" xfId="0" applyFont="1" applyBorder="1" applyAlignment="1">
      <alignment vertical="center" wrapText="1"/>
    </xf>
    <xf numFmtId="0" fontId="57" fillId="34" borderId="15" xfId="0" applyFont="1" applyFill="1" applyBorder="1" applyAlignment="1">
      <alignment horizontal="left" vertical="center"/>
    </xf>
    <xf numFmtId="9" fontId="57" fillId="33" borderId="10" xfId="43" applyFont="1" applyFill="1" applyBorder="1" applyAlignment="1">
      <alignment horizontal="center" vertical="center"/>
    </xf>
    <xf numFmtId="0" fontId="48" fillId="0" borderId="12" xfId="0" applyFont="1" applyBorder="1" applyAlignment="1">
      <alignment vertical="center" wrapText="1"/>
    </xf>
    <xf numFmtId="0" fontId="33" fillId="34" borderId="15" xfId="0" applyFont="1" applyFill="1" applyBorder="1" applyAlignment="1">
      <alignment horizontal="left" vertical="center"/>
    </xf>
    <xf numFmtId="43" fontId="33" fillId="34" borderId="19" xfId="42" applyFont="1" applyFill="1" applyBorder="1" applyAlignment="1">
      <alignment horizontal="left" vertical="center"/>
    </xf>
    <xf numFmtId="0" fontId="57" fillId="33" borderId="10" xfId="0" applyFont="1" applyFill="1" applyBorder="1" applyAlignment="1">
      <alignment horizontal="left" vertical="center" wrapText="1"/>
    </xf>
    <xf numFmtId="0" fontId="98" fillId="33" borderId="10" xfId="0" applyFont="1" applyFill="1" applyBorder="1" applyAlignment="1">
      <alignment vertical="center" wrapText="1"/>
    </xf>
    <xf numFmtId="0" fontId="97" fillId="33" borderId="10" xfId="0" applyFont="1" applyFill="1" applyBorder="1" applyAlignment="1">
      <alignment vertical="center" wrapText="1"/>
    </xf>
    <xf numFmtId="0" fontId="45" fillId="33" borderId="16" xfId="0" applyFont="1" applyFill="1" applyBorder="1" applyAlignment="1">
      <alignment horizontal="left" vertical="center" wrapText="1"/>
    </xf>
    <xf numFmtId="0" fontId="57" fillId="0" borderId="15" xfId="0" applyFont="1" applyBorder="1" applyAlignment="1">
      <alignment horizontal="left" vertical="center"/>
    </xf>
    <xf numFmtId="0" fontId="48" fillId="0" borderId="11" xfId="0" applyFont="1" applyBorder="1" applyAlignment="1">
      <alignment vertical="center" wrapText="1"/>
    </xf>
    <xf numFmtId="0" fontId="57" fillId="33" borderId="10" xfId="0" applyFont="1" applyFill="1" applyBorder="1" applyAlignment="1">
      <alignment horizontal="right" vertical="center" wrapText="1"/>
    </xf>
    <xf numFmtId="0" fontId="48" fillId="33" borderId="16" xfId="0" applyFont="1" applyFill="1" applyBorder="1" applyAlignment="1">
      <alignment vertical="center" wrapText="1"/>
    </xf>
    <xf numFmtId="0" fontId="57" fillId="0" borderId="10" xfId="0" applyFont="1" applyBorder="1" applyAlignment="1">
      <alignment vertical="center" wrapText="1"/>
    </xf>
    <xf numFmtId="0" fontId="48" fillId="0" borderId="0" xfId="0" applyFont="1" applyAlignment="1" applyProtection="1">
      <alignment vertical="center" wrapText="1"/>
      <protection locked="0"/>
    </xf>
    <xf numFmtId="0" fontId="48" fillId="0" borderId="0" xfId="0" applyFont="1" applyAlignment="1">
      <alignment vertical="center" wrapText="1"/>
    </xf>
    <xf numFmtId="0" fontId="33" fillId="34" borderId="19" xfId="0" applyFont="1" applyFill="1" applyBorder="1" applyAlignment="1">
      <alignment horizontal="left" vertical="center"/>
    </xf>
    <xf numFmtId="0" fontId="98" fillId="33" borderId="11" xfId="0" applyFont="1" applyFill="1" applyBorder="1" applyAlignment="1">
      <alignment vertical="center" wrapText="1"/>
    </xf>
    <xf numFmtId="0" fontId="39" fillId="46" borderId="13" xfId="0" applyFont="1" applyFill="1" applyBorder="1" applyAlignment="1">
      <alignment vertical="center"/>
    </xf>
    <xf numFmtId="0" fontId="57" fillId="44" borderId="10" xfId="0" applyFont="1" applyFill="1" applyBorder="1" applyAlignment="1">
      <alignment vertical="center" wrapText="1"/>
    </xf>
    <xf numFmtId="0" fontId="57" fillId="44" borderId="11" xfId="0" applyFont="1" applyFill="1" applyBorder="1" applyAlignment="1">
      <alignment vertical="center" wrapText="1"/>
    </xf>
    <xf numFmtId="0" fontId="112" fillId="0" borderId="10" xfId="0" applyFont="1" applyBorder="1" applyAlignment="1">
      <alignment horizontal="justify" vertical="center" wrapText="1"/>
    </xf>
    <xf numFmtId="1" fontId="55" fillId="34" borderId="10" xfId="43" applyNumberFormat="1" applyFont="1" applyFill="1" applyBorder="1" applyAlignment="1" applyProtection="1">
      <alignment horizontal="center" vertical="center"/>
    </xf>
    <xf numFmtId="0" fontId="57" fillId="34" borderId="10" xfId="0" applyFont="1" applyFill="1" applyBorder="1" applyAlignment="1">
      <alignment vertical="center" wrapText="1"/>
    </xf>
    <xf numFmtId="164" fontId="68" fillId="34" borderId="10" xfId="43" applyNumberFormat="1" applyFont="1" applyFill="1" applyBorder="1" applyAlignment="1">
      <alignment horizontal="right" vertical="center"/>
    </xf>
    <xf numFmtId="1" fontId="42" fillId="34" borderId="10" xfId="0" applyNumberFormat="1" applyFont="1" applyFill="1" applyBorder="1" applyAlignment="1">
      <alignment horizontal="right" vertical="center"/>
    </xf>
    <xf numFmtId="1" fontId="42" fillId="33" borderId="10" xfId="0" applyNumberFormat="1" applyFont="1" applyFill="1" applyBorder="1" applyAlignment="1">
      <alignment horizontal="right" vertical="center"/>
    </xf>
    <xf numFmtId="0" fontId="25" fillId="35" borderId="17" xfId="0" applyFont="1" applyFill="1" applyBorder="1" applyAlignment="1">
      <alignment vertical="center"/>
    </xf>
    <xf numFmtId="0" fontId="14" fillId="35" borderId="22" xfId="0" applyFont="1" applyFill="1" applyBorder="1" applyAlignment="1" applyProtection="1">
      <alignment vertical="center"/>
      <protection hidden="1"/>
    </xf>
    <xf numFmtId="0" fontId="25" fillId="35" borderId="22" xfId="0" applyFont="1" applyFill="1" applyBorder="1" applyAlignment="1">
      <alignment vertical="center"/>
    </xf>
    <xf numFmtId="0" fontId="0" fillId="35" borderId="22" xfId="0" applyFill="1" applyBorder="1" applyAlignment="1">
      <alignment vertical="center"/>
    </xf>
    <xf numFmtId="0" fontId="21" fillId="49" borderId="0" xfId="0" applyFont="1" applyFill="1" applyAlignment="1" applyProtection="1">
      <alignment vertical="center"/>
      <protection locked="0"/>
    </xf>
    <xf numFmtId="0" fontId="21" fillId="33" borderId="0" xfId="0" applyFont="1" applyFill="1"/>
    <xf numFmtId="0" fontId="118" fillId="0" borderId="10" xfId="0" applyFont="1" applyBorder="1" applyAlignment="1">
      <alignment horizontal="center" vertical="center" textRotation="90"/>
    </xf>
    <xf numFmtId="0" fontId="63" fillId="34" borderId="11" xfId="0" applyFont="1" applyFill="1" applyBorder="1" applyAlignment="1">
      <alignment horizontal="right" textRotation="90"/>
    </xf>
    <xf numFmtId="0" fontId="35" fillId="50" borderId="17" xfId="0" applyFont="1" applyFill="1" applyBorder="1" applyAlignment="1">
      <alignment horizontal="center" vertical="center"/>
    </xf>
    <xf numFmtId="0" fontId="120" fillId="33" borderId="0" xfId="0" applyFont="1" applyFill="1" applyProtection="1">
      <protection hidden="1"/>
    </xf>
    <xf numFmtId="0" fontId="39" fillId="33" borderId="0" xfId="0" applyFont="1" applyFill="1"/>
    <xf numFmtId="0" fontId="36" fillId="51" borderId="10" xfId="0" applyFont="1" applyFill="1" applyBorder="1" applyAlignment="1">
      <alignment horizontal="center" vertical="center"/>
    </xf>
    <xf numFmtId="0" fontId="16" fillId="51" borderId="10" xfId="0" applyFont="1" applyFill="1" applyBorder="1" applyAlignment="1">
      <alignment horizontal="center" vertical="center"/>
    </xf>
    <xf numFmtId="0" fontId="19" fillId="51" borderId="16" xfId="0" applyFont="1" applyFill="1" applyBorder="1" applyAlignment="1">
      <alignment vertical="center"/>
    </xf>
    <xf numFmtId="0" fontId="16" fillId="51" borderId="12" xfId="0" applyFont="1" applyFill="1" applyBorder="1" applyAlignment="1">
      <alignment horizontal="center" vertical="center"/>
    </xf>
    <xf numFmtId="0" fontId="40" fillId="51" borderId="16" xfId="0" applyFont="1" applyFill="1" applyBorder="1" applyAlignment="1">
      <alignment vertical="center" wrapText="1"/>
    </xf>
    <xf numFmtId="0" fontId="57" fillId="51" borderId="12" xfId="0" applyFont="1" applyFill="1" applyBorder="1" applyAlignment="1">
      <alignment horizontal="center" vertical="center" wrapText="1"/>
    </xf>
    <xf numFmtId="0" fontId="57" fillId="51" borderId="10" xfId="0" applyFont="1" applyFill="1" applyBorder="1" applyAlignment="1">
      <alignment horizontal="center" vertical="center" wrapText="1"/>
    </xf>
    <xf numFmtId="0" fontId="44" fillId="51" borderId="10" xfId="0" applyFont="1" applyFill="1" applyBorder="1" applyAlignment="1">
      <alignment horizontal="center" vertical="center" wrapText="1"/>
    </xf>
    <xf numFmtId="0" fontId="74" fillId="51" borderId="10" xfId="0" applyFont="1" applyFill="1" applyBorder="1" applyAlignment="1">
      <alignment horizontal="center" vertical="center" textRotation="90" wrapText="1"/>
    </xf>
    <xf numFmtId="9" fontId="56" fillId="33" borderId="16" xfId="43" applyFont="1" applyFill="1" applyBorder="1" applyAlignment="1" applyProtection="1">
      <alignment horizontal="center" vertical="center" textRotation="90"/>
    </xf>
    <xf numFmtId="9" fontId="41" fillId="33" borderId="10" xfId="0" applyNumberFormat="1" applyFont="1" applyFill="1" applyBorder="1" applyAlignment="1">
      <alignment horizontal="right" vertical="center"/>
    </xf>
    <xf numFmtId="0" fontId="75" fillId="33" borderId="18" xfId="0" applyFont="1" applyFill="1" applyBorder="1" applyAlignment="1">
      <alignment horizontal="center" vertical="center"/>
    </xf>
    <xf numFmtId="0" fontId="78" fillId="33" borderId="0" xfId="0" applyFont="1" applyFill="1" applyAlignment="1" applyProtection="1">
      <alignment vertical="center"/>
      <protection locked="0"/>
    </xf>
    <xf numFmtId="0" fontId="78" fillId="0" borderId="0" xfId="0" applyFont="1" applyAlignment="1" applyProtection="1">
      <alignment vertical="center"/>
      <protection locked="0"/>
    </xf>
    <xf numFmtId="0" fontId="78" fillId="0" borderId="0" xfId="0" applyFont="1" applyAlignment="1">
      <alignment vertical="center"/>
    </xf>
    <xf numFmtId="0" fontId="63" fillId="0" borderId="0" xfId="0" applyFont="1" applyAlignment="1" applyProtection="1">
      <alignment vertical="center"/>
      <protection locked="0"/>
    </xf>
    <xf numFmtId="0" fontId="71" fillId="51" borderId="13" xfId="0" applyFont="1" applyFill="1" applyBorder="1" applyAlignment="1">
      <alignment vertical="center" wrapText="1"/>
    </xf>
    <xf numFmtId="0" fontId="122" fillId="33" borderId="10" xfId="0" applyFont="1" applyFill="1" applyBorder="1" applyProtection="1">
      <protection locked="0" hidden="1"/>
    </xf>
    <xf numFmtId="0" fontId="19" fillId="33" borderId="0" xfId="0" applyFont="1" applyFill="1" applyAlignment="1">
      <alignment wrapText="1"/>
    </xf>
    <xf numFmtId="0" fontId="52" fillId="34" borderId="19" xfId="0" applyFont="1" applyFill="1" applyBorder="1" applyAlignment="1">
      <alignment horizontal="center" vertical="center"/>
    </xf>
    <xf numFmtId="0" fontId="52" fillId="34" borderId="24" xfId="0" applyFont="1" applyFill="1" applyBorder="1" applyAlignment="1">
      <alignment horizontal="center" vertical="center"/>
    </xf>
    <xf numFmtId="9" fontId="52" fillId="34" borderId="14" xfId="0" applyNumberFormat="1" applyFont="1" applyFill="1" applyBorder="1" applyAlignment="1">
      <alignment horizontal="center" vertical="center"/>
    </xf>
    <xf numFmtId="9" fontId="55" fillId="34" borderId="14" xfId="43" applyFont="1" applyFill="1" applyBorder="1" applyAlignment="1" applyProtection="1">
      <alignment horizontal="center" vertical="center"/>
    </xf>
    <xf numFmtId="9" fontId="55" fillId="34" borderId="21" xfId="43" applyFont="1" applyFill="1" applyBorder="1" applyAlignment="1" applyProtection="1">
      <alignment horizontal="center" vertical="center"/>
    </xf>
    <xf numFmtId="0" fontId="48" fillId="34" borderId="15" xfId="0" applyFont="1" applyFill="1" applyBorder="1" applyAlignment="1">
      <alignment vertical="center"/>
    </xf>
    <xf numFmtId="0" fontId="51" fillId="34" borderId="12" xfId="0" applyFont="1" applyFill="1" applyBorder="1" applyAlignment="1">
      <alignment horizontal="center" vertical="center"/>
    </xf>
    <xf numFmtId="0" fontId="48" fillId="34" borderId="11" xfId="0" applyFont="1" applyFill="1" applyBorder="1" applyAlignment="1">
      <alignment vertical="center"/>
    </xf>
    <xf numFmtId="9" fontId="55" fillId="34" borderId="0" xfId="43" applyFont="1" applyFill="1" applyBorder="1" applyAlignment="1" applyProtection="1">
      <alignment horizontal="center" vertical="center"/>
    </xf>
    <xf numFmtId="9" fontId="52" fillId="34" borderId="24" xfId="0" applyNumberFormat="1" applyFont="1" applyFill="1" applyBorder="1" applyAlignment="1">
      <alignment horizontal="center" vertical="center"/>
    </xf>
    <xf numFmtId="0" fontId="0" fillId="34" borderId="24" xfId="0" applyFill="1" applyBorder="1" applyAlignment="1">
      <alignment vertical="center"/>
    </xf>
    <xf numFmtId="0" fontId="0" fillId="34" borderId="12" xfId="0" applyFill="1" applyBorder="1" applyAlignment="1" applyProtection="1">
      <alignment vertical="center"/>
      <protection locked="0"/>
    </xf>
    <xf numFmtId="0" fontId="92" fillId="34" borderId="13" xfId="0" applyFont="1" applyFill="1" applyBorder="1" applyAlignment="1">
      <alignment horizontal="center" vertical="center"/>
    </xf>
    <xf numFmtId="0" fontId="92" fillId="34" borderId="15" xfId="0" applyFont="1" applyFill="1" applyBorder="1" applyAlignment="1">
      <alignment horizontal="center" vertical="center"/>
    </xf>
    <xf numFmtId="0" fontId="92" fillId="34" borderId="14" xfId="0" applyFont="1" applyFill="1" applyBorder="1" applyAlignment="1">
      <alignment horizontal="center" vertical="center"/>
    </xf>
    <xf numFmtId="0" fontId="51" fillId="0" borderId="1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5" fillId="50" borderId="10" xfId="0" applyFont="1" applyFill="1" applyBorder="1" applyAlignment="1">
      <alignment horizontal="center" vertical="center"/>
    </xf>
    <xf numFmtId="9" fontId="52" fillId="34" borderId="14" xfId="43" applyFont="1" applyFill="1" applyBorder="1" applyAlignment="1">
      <alignment horizontal="center" vertical="center"/>
    </xf>
    <xf numFmtId="0" fontId="128" fillId="0" borderId="10" xfId="0" applyFont="1" applyBorder="1" applyAlignment="1" applyProtection="1">
      <alignment horizontal="left" vertical="top" wrapText="1"/>
      <protection locked="0"/>
    </xf>
    <xf numFmtId="0" fontId="127" fillId="34" borderId="19" xfId="0" applyFont="1" applyFill="1" applyBorder="1" applyAlignment="1">
      <alignment horizontal="left" vertical="top"/>
    </xf>
    <xf numFmtId="0" fontId="127" fillId="34" borderId="15" xfId="0" applyFont="1" applyFill="1" applyBorder="1" applyAlignment="1">
      <alignment horizontal="left" vertical="top"/>
    </xf>
    <xf numFmtId="0" fontId="129" fillId="0" borderId="10" xfId="0" applyFont="1" applyBorder="1" applyAlignment="1" applyProtection="1">
      <alignment horizontal="left" vertical="top" wrapText="1"/>
      <protection locked="0"/>
    </xf>
    <xf numFmtId="0" fontId="57" fillId="34" borderId="15" xfId="0" quotePrefix="1" applyFont="1" applyFill="1" applyBorder="1" applyAlignment="1" applyProtection="1">
      <alignment horizontal="center" vertical="center" wrapText="1"/>
      <protection locked="0"/>
    </xf>
    <xf numFmtId="0" fontId="49" fillId="0" borderId="17" xfId="0" applyFont="1" applyBorder="1" applyAlignment="1" applyProtection="1">
      <alignment horizontal="center" vertical="center"/>
      <protection locked="0"/>
    </xf>
    <xf numFmtId="0" fontId="46" fillId="34" borderId="19" xfId="0" applyFont="1" applyFill="1" applyBorder="1" applyAlignment="1" applyProtection="1">
      <alignment horizontal="center" vertical="center"/>
      <protection locked="0"/>
    </xf>
    <xf numFmtId="0" fontId="49" fillId="34" borderId="15" xfId="0" applyFont="1" applyFill="1" applyBorder="1" applyAlignment="1" applyProtection="1">
      <alignment horizontal="center" vertical="center"/>
      <protection locked="0"/>
    </xf>
    <xf numFmtId="0" fontId="49" fillId="0" borderId="13" xfId="0" quotePrefix="1" applyFont="1" applyBorder="1" applyAlignment="1" applyProtection="1">
      <alignment horizontal="center" vertical="center"/>
      <protection locked="0"/>
    </xf>
    <xf numFmtId="0" fontId="49" fillId="0" borderId="17" xfId="0" quotePrefix="1"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130" fillId="34" borderId="15" xfId="0" applyFont="1" applyFill="1" applyBorder="1" applyAlignment="1" applyProtection="1">
      <alignment horizontal="center" vertical="center"/>
      <protection locked="0"/>
    </xf>
    <xf numFmtId="0" fontId="130" fillId="0" borderId="20" xfId="0" applyFont="1" applyBorder="1" applyAlignment="1" applyProtection="1">
      <alignment horizontal="center" vertical="center"/>
      <protection locked="0"/>
    </xf>
    <xf numFmtId="0" fontId="130" fillId="0" borderId="13" xfId="0" quotePrefix="1" applyFont="1" applyBorder="1" applyAlignment="1" applyProtection="1">
      <alignment horizontal="center" vertical="center"/>
      <protection locked="0"/>
    </xf>
    <xf numFmtId="0" fontId="130" fillId="0" borderId="17" xfId="0" quotePrefix="1" applyFont="1" applyBorder="1" applyAlignment="1" applyProtection="1">
      <alignment horizontal="center" vertical="center"/>
      <protection locked="0"/>
    </xf>
    <xf numFmtId="0" fontId="130" fillId="34" borderId="19" xfId="0" applyFont="1" applyFill="1" applyBorder="1" applyAlignment="1" applyProtection="1">
      <alignment horizontal="center" vertical="center"/>
      <protection locked="0"/>
    </xf>
    <xf numFmtId="0" fontId="131" fillId="0" borderId="13" xfId="0" applyFont="1" applyBorder="1" applyAlignment="1" applyProtection="1">
      <alignment horizontal="center" vertical="center"/>
      <protection locked="0"/>
    </xf>
    <xf numFmtId="0" fontId="130" fillId="0" borderId="17" xfId="0" applyFont="1" applyBorder="1" applyAlignment="1" applyProtection="1">
      <alignment horizontal="center" vertical="center"/>
      <protection locked="0"/>
    </xf>
    <xf numFmtId="0" fontId="130" fillId="0" borderId="18" xfId="0" applyFont="1" applyBorder="1" applyAlignment="1" applyProtection="1">
      <alignment horizontal="center" vertical="center"/>
      <protection locked="0"/>
    </xf>
    <xf numFmtId="0" fontId="130" fillId="0" borderId="0" xfId="0" applyFont="1" applyAlignment="1" applyProtection="1">
      <alignment horizontal="center" vertical="center"/>
      <protection locked="0"/>
    </xf>
    <xf numFmtId="0" fontId="130" fillId="0" borderId="13" xfId="0" applyFont="1" applyBorder="1" applyAlignment="1" applyProtection="1">
      <alignment horizontal="center" vertical="center"/>
      <protection locked="0"/>
    </xf>
    <xf numFmtId="43" fontId="130" fillId="34" borderId="19" xfId="42" applyFont="1" applyFill="1" applyBorder="1" applyAlignment="1" applyProtection="1">
      <alignment horizontal="center" vertical="center"/>
      <protection locked="0"/>
    </xf>
    <xf numFmtId="0" fontId="52" fillId="34" borderId="19" xfId="0" applyFont="1" applyFill="1" applyBorder="1" applyAlignment="1">
      <alignment vertical="center"/>
    </xf>
    <xf numFmtId="0" fontId="19" fillId="34" borderId="16" xfId="0" applyFont="1" applyFill="1" applyBorder="1" applyAlignment="1">
      <alignment vertical="center"/>
    </xf>
    <xf numFmtId="0" fontId="19" fillId="34" borderId="12" xfId="0" applyFont="1" applyFill="1" applyBorder="1" applyAlignment="1">
      <alignment vertical="center"/>
    </xf>
    <xf numFmtId="0" fontId="129" fillId="34" borderId="10" xfId="0" applyFont="1" applyFill="1" applyBorder="1" applyAlignment="1" applyProtection="1">
      <alignment horizontal="left" vertical="top" wrapText="1"/>
      <protection locked="0"/>
    </xf>
    <xf numFmtId="9" fontId="41" fillId="34" borderId="11" xfId="43" applyFont="1" applyFill="1" applyBorder="1" applyAlignment="1">
      <alignment horizontal="center" vertical="center"/>
    </xf>
    <xf numFmtId="0" fontId="128" fillId="34" borderId="10" xfId="0" applyFont="1" applyFill="1" applyBorder="1" applyAlignment="1" applyProtection="1">
      <alignment horizontal="left" vertical="top" wrapText="1"/>
      <protection locked="0"/>
    </xf>
    <xf numFmtId="0" fontId="129" fillId="34" borderId="10" xfId="0" applyFont="1" applyFill="1" applyBorder="1" applyAlignment="1">
      <alignment horizontal="left" vertical="top"/>
    </xf>
    <xf numFmtId="0" fontId="129" fillId="34" borderId="15" xfId="0" applyFont="1" applyFill="1" applyBorder="1" applyAlignment="1" applyProtection="1">
      <alignment horizontal="left" vertical="top"/>
      <protection locked="0"/>
    </xf>
    <xf numFmtId="0" fontId="129" fillId="0" borderId="12" xfId="0" applyFont="1" applyBorder="1" applyAlignment="1">
      <alignment horizontal="left" vertical="top"/>
    </xf>
    <xf numFmtId="0" fontId="129" fillId="0" borderId="11" xfId="0" applyFont="1" applyBorder="1" applyAlignment="1">
      <alignment horizontal="left" vertical="top"/>
    </xf>
    <xf numFmtId="0" fontId="129" fillId="34" borderId="15" xfId="0" applyFont="1" applyFill="1" applyBorder="1" applyAlignment="1">
      <alignment horizontal="left" vertical="top"/>
    </xf>
    <xf numFmtId="0" fontId="129" fillId="34" borderId="19" xfId="0" applyFont="1" applyFill="1" applyBorder="1" applyAlignment="1">
      <alignment horizontal="left" vertical="top"/>
    </xf>
    <xf numFmtId="0" fontId="132" fillId="34" borderId="10" xfId="0" applyFont="1" applyFill="1" applyBorder="1" applyAlignment="1">
      <alignment horizontal="left" vertical="top"/>
    </xf>
    <xf numFmtId="0" fontId="133" fillId="0" borderId="12" xfId="0" applyFont="1" applyBorder="1" applyAlignment="1">
      <alignment horizontal="left" vertical="top"/>
    </xf>
    <xf numFmtId="0" fontId="133" fillId="34" borderId="15" xfId="0" applyFont="1" applyFill="1" applyBorder="1" applyAlignment="1">
      <alignment horizontal="left" vertical="top"/>
    </xf>
    <xf numFmtId="0" fontId="51" fillId="0" borderId="12" xfId="0" applyFont="1" applyBorder="1" applyAlignment="1" applyProtection="1">
      <alignment horizontal="left" vertical="center"/>
      <protection locked="0"/>
    </xf>
    <xf numFmtId="0" fontId="132" fillId="0" borderId="11" xfId="0" applyFont="1" applyBorder="1" applyAlignment="1">
      <alignment horizontal="left" vertical="top"/>
    </xf>
    <xf numFmtId="0" fontId="132" fillId="34" borderId="15" xfId="0" applyFont="1" applyFill="1" applyBorder="1" applyAlignment="1">
      <alignment horizontal="left" vertical="top"/>
    </xf>
    <xf numFmtId="0" fontId="133" fillId="34" borderId="16" xfId="0" applyFont="1" applyFill="1" applyBorder="1" applyAlignment="1">
      <alignment horizontal="left" vertical="top"/>
    </xf>
    <xf numFmtId="43" fontId="133" fillId="34" borderId="19" xfId="42" applyFont="1" applyFill="1" applyBorder="1" applyAlignment="1">
      <alignment horizontal="left" vertical="top"/>
    </xf>
    <xf numFmtId="0" fontId="51" fillId="34" borderId="10" xfId="0" applyFont="1" applyFill="1" applyBorder="1" applyAlignment="1">
      <alignment horizontal="left" vertical="center"/>
    </xf>
    <xf numFmtId="0" fontId="51" fillId="34" borderId="15" xfId="0" applyFont="1" applyFill="1" applyBorder="1" applyAlignment="1" applyProtection="1">
      <alignment horizontal="left" vertical="center"/>
      <protection locked="0"/>
    </xf>
    <xf numFmtId="0" fontId="129" fillId="34" borderId="16" xfId="0" applyFont="1" applyFill="1" applyBorder="1" applyAlignment="1">
      <alignment horizontal="left" vertical="top"/>
    </xf>
    <xf numFmtId="0" fontId="134" fillId="0" borderId="12" xfId="0" applyFont="1" applyBorder="1" applyAlignment="1" applyProtection="1">
      <alignment horizontal="center" vertical="center" wrapText="1"/>
      <protection locked="0"/>
    </xf>
    <xf numFmtId="0" fontId="134" fillId="34" borderId="16" xfId="0" applyFont="1" applyFill="1" applyBorder="1" applyAlignment="1">
      <alignment horizontal="center" vertical="center"/>
    </xf>
    <xf numFmtId="0" fontId="134" fillId="34" borderId="15" xfId="0" applyFont="1" applyFill="1" applyBorder="1" applyAlignment="1" applyProtection="1">
      <alignment horizontal="center" vertical="center" wrapText="1"/>
      <protection locked="0"/>
    </xf>
    <xf numFmtId="0" fontId="134" fillId="0" borderId="12" xfId="0" applyFont="1" applyBorder="1" applyAlignment="1">
      <alignment horizontal="center" vertical="center"/>
    </xf>
    <xf numFmtId="0" fontId="134" fillId="34" borderId="15" xfId="0" applyFont="1" applyFill="1" applyBorder="1" applyAlignment="1">
      <alignment horizontal="center" vertical="center"/>
    </xf>
    <xf numFmtId="0" fontId="134" fillId="0" borderId="11" xfId="0" applyFont="1" applyBorder="1" applyAlignment="1">
      <alignment horizontal="center" vertical="center"/>
    </xf>
    <xf numFmtId="0" fontId="134" fillId="34" borderId="12" xfId="0" applyFont="1" applyFill="1" applyBorder="1" applyAlignment="1" applyProtection="1">
      <alignment horizontal="center" vertical="center" wrapText="1"/>
      <protection locked="0"/>
    </xf>
    <xf numFmtId="0" fontId="134" fillId="34" borderId="12" xfId="0" applyFont="1" applyFill="1" applyBorder="1" applyAlignment="1">
      <alignment horizontal="center" vertical="center" wrapText="1"/>
    </xf>
    <xf numFmtId="0" fontId="134" fillId="0" borderId="16" xfId="0" applyFont="1" applyBorder="1" applyAlignment="1">
      <alignment horizontal="center" vertical="center"/>
    </xf>
    <xf numFmtId="0" fontId="135" fillId="0" borderId="10" xfId="0" applyFont="1" applyBorder="1" applyAlignment="1" applyProtection="1">
      <alignment horizontal="left" vertical="top" wrapText="1"/>
      <protection locked="0"/>
    </xf>
    <xf numFmtId="0" fontId="23" fillId="0" borderId="15" xfId="0" applyFont="1" applyBorder="1" applyAlignment="1">
      <alignment horizontal="left" vertical="top" wrapText="1"/>
    </xf>
    <xf numFmtId="0" fontId="23" fillId="34" borderId="14" xfId="0" applyFont="1" applyFill="1" applyBorder="1" applyAlignment="1">
      <alignment horizontal="left" vertical="top" wrapText="1"/>
    </xf>
    <xf numFmtId="0" fontId="23" fillId="0" borderId="11" xfId="0" applyFont="1" applyBorder="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133" fillId="34" borderId="15" xfId="0" applyFont="1" applyFill="1" applyBorder="1" applyAlignment="1">
      <alignment horizontal="left" vertical="top" wrapText="1"/>
    </xf>
    <xf numFmtId="0" fontId="133" fillId="0" borderId="12" xfId="0" applyFont="1" applyBorder="1" applyAlignment="1">
      <alignment horizontal="left" vertical="top" wrapText="1"/>
    </xf>
    <xf numFmtId="0" fontId="133" fillId="0" borderId="16" xfId="0" applyFont="1" applyBorder="1" applyAlignment="1">
      <alignment horizontal="left" vertical="top" wrapText="1"/>
    </xf>
    <xf numFmtId="0" fontId="127" fillId="0" borderId="11" xfId="0" applyFont="1" applyBorder="1" applyAlignment="1">
      <alignment horizontal="left" vertical="top" wrapText="1"/>
    </xf>
    <xf numFmtId="0" fontId="127" fillId="34" borderId="15" xfId="0" applyFont="1" applyFill="1" applyBorder="1" applyAlignment="1">
      <alignment horizontal="left" vertical="top" wrapText="1"/>
    </xf>
    <xf numFmtId="0" fontId="127" fillId="0" borderId="12" xfId="0" applyFont="1" applyBorder="1" applyAlignment="1">
      <alignment horizontal="left" vertical="top" wrapText="1"/>
    </xf>
    <xf numFmtId="0" fontId="127" fillId="34" borderId="19" xfId="0" applyFont="1" applyFill="1" applyBorder="1" applyAlignment="1">
      <alignment horizontal="left" vertical="top" wrapText="1"/>
    </xf>
    <xf numFmtId="0" fontId="127" fillId="0" borderId="16" xfId="0" applyFont="1" applyBorder="1" applyAlignment="1">
      <alignment horizontal="left" vertical="top" wrapText="1"/>
    </xf>
    <xf numFmtId="0" fontId="33" fillId="0" borderId="15" xfId="0" applyFont="1" applyBorder="1" applyAlignment="1" applyProtection="1">
      <alignment horizontal="left" vertical="top" wrapText="1"/>
      <protection locked="0"/>
    </xf>
    <xf numFmtId="0" fontId="16" fillId="34" borderId="14" xfId="0" applyFont="1" applyFill="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34" borderId="0" xfId="0" applyFont="1" applyFill="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34" borderId="15" xfId="0" applyFont="1" applyFill="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52" fillId="0" borderId="15" xfId="0" applyFont="1" applyBorder="1" applyAlignment="1" applyProtection="1">
      <alignment horizontal="left" vertical="top" wrapText="1"/>
      <protection locked="0"/>
    </xf>
    <xf numFmtId="0" fontId="23" fillId="34" borderId="14" xfId="0" applyFont="1" applyFill="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132" fillId="34" borderId="19" xfId="0" applyFont="1" applyFill="1" applyBorder="1" applyAlignment="1">
      <alignment horizontal="left" vertical="top" wrapText="1"/>
    </xf>
    <xf numFmtId="0" fontId="129" fillId="34" borderId="10" xfId="0" applyFont="1" applyFill="1" applyBorder="1" applyAlignment="1">
      <alignment horizontal="left" vertical="top" wrapText="1"/>
    </xf>
    <xf numFmtId="0" fontId="129" fillId="34" borderId="15" xfId="0" applyFont="1" applyFill="1" applyBorder="1" applyAlignment="1">
      <alignment horizontal="left" vertical="top" wrapText="1"/>
    </xf>
    <xf numFmtId="0" fontId="129" fillId="0" borderId="12" xfId="0" applyFont="1" applyBorder="1" applyAlignment="1">
      <alignment horizontal="left" vertical="top" wrapText="1"/>
    </xf>
    <xf numFmtId="0" fontId="129" fillId="34" borderId="19" xfId="0" applyFont="1" applyFill="1" applyBorder="1" applyAlignment="1">
      <alignment horizontal="left" vertical="top" wrapText="1"/>
    </xf>
    <xf numFmtId="0" fontId="134" fillId="34" borderId="12" xfId="0" applyFont="1" applyFill="1" applyBorder="1" applyAlignment="1">
      <alignment horizontal="center" vertical="center"/>
    </xf>
    <xf numFmtId="0" fontId="134" fillId="0" borderId="10" xfId="0" applyFont="1" applyBorder="1" applyAlignment="1">
      <alignment horizontal="center" vertical="center"/>
    </xf>
    <xf numFmtId="0" fontId="134" fillId="34" borderId="10" xfId="0" applyFont="1" applyFill="1" applyBorder="1" applyAlignment="1">
      <alignment horizontal="center" vertical="center"/>
    </xf>
    <xf numFmtId="0" fontId="51" fillId="0" borderId="15" xfId="0" applyFont="1" applyBorder="1" applyAlignment="1" applyProtection="1">
      <alignment horizontal="left" vertical="top" wrapText="1"/>
      <protection locked="0"/>
    </xf>
    <xf numFmtId="0" fontId="51" fillId="34" borderId="19" xfId="0" applyFont="1" applyFill="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23" fillId="34" borderId="15" xfId="0" applyFont="1" applyFill="1" applyBorder="1" applyAlignment="1" applyProtection="1">
      <alignment horizontal="left" vertical="top" wrapText="1"/>
      <protection locked="0"/>
    </xf>
    <xf numFmtId="0" fontId="23" fillId="34" borderId="24" xfId="0" applyFont="1" applyFill="1" applyBorder="1" applyAlignment="1" applyProtection="1">
      <alignment horizontal="left" vertical="top" wrapText="1"/>
      <protection locked="0"/>
    </xf>
    <xf numFmtId="0" fontId="129" fillId="0" borderId="10" xfId="0" applyFont="1" applyBorder="1" applyAlignment="1">
      <alignment horizontal="left" vertical="top" wrapText="1"/>
    </xf>
    <xf numFmtId="0" fontId="129" fillId="0" borderId="13" xfId="0" applyFont="1" applyBorder="1" applyAlignment="1" applyProtection="1">
      <alignment horizontal="left" vertical="top" wrapText="1"/>
      <protection locked="0"/>
    </xf>
    <xf numFmtId="0" fontId="133" fillId="0" borderId="13" xfId="0" applyFont="1" applyBorder="1" applyAlignment="1">
      <alignment horizontal="left" vertical="top" wrapText="1"/>
    </xf>
    <xf numFmtId="0" fontId="129" fillId="34" borderId="13" xfId="0" applyFont="1" applyFill="1" applyBorder="1" applyAlignment="1" applyProtection="1">
      <alignment horizontal="left" vertical="top" wrapText="1"/>
      <protection locked="0"/>
    </xf>
    <xf numFmtId="0" fontId="133" fillId="34" borderId="19" xfId="0" applyFont="1" applyFill="1" applyBorder="1" applyAlignment="1">
      <alignment horizontal="left" vertical="top" wrapText="1"/>
    </xf>
    <xf numFmtId="0" fontId="133" fillId="34" borderId="13" xfId="0" applyFont="1" applyFill="1" applyBorder="1" applyAlignment="1">
      <alignment horizontal="left" vertical="top" wrapText="1"/>
    </xf>
    <xf numFmtId="0" fontId="127" fillId="0" borderId="10" xfId="0" applyFont="1" applyBorder="1" applyAlignment="1">
      <alignment horizontal="left" vertical="top"/>
    </xf>
    <xf numFmtId="0" fontId="133" fillId="34" borderId="12" xfId="0" applyFont="1" applyFill="1" applyBorder="1" applyAlignment="1">
      <alignment horizontal="left" vertical="top" wrapText="1"/>
    </xf>
    <xf numFmtId="0" fontId="133" fillId="0" borderId="10" xfId="0" applyFont="1" applyBorder="1" applyAlignment="1">
      <alignment horizontal="left" vertical="top" wrapText="1"/>
    </xf>
    <xf numFmtId="0" fontId="133" fillId="34" borderId="10" xfId="0" applyFont="1" applyFill="1" applyBorder="1" applyAlignment="1">
      <alignment horizontal="left" vertical="top" wrapText="1"/>
    </xf>
    <xf numFmtId="0" fontId="127" fillId="34" borderId="12" xfId="0" applyFont="1" applyFill="1" applyBorder="1" applyAlignment="1">
      <alignment horizontal="left" vertical="top" wrapText="1"/>
    </xf>
    <xf numFmtId="0" fontId="127" fillId="0" borderId="10" xfId="0" applyFont="1" applyBorder="1" applyAlignment="1">
      <alignment horizontal="left" vertical="top" wrapText="1"/>
    </xf>
    <xf numFmtId="0" fontId="127" fillId="34" borderId="10" xfId="0" applyFont="1" applyFill="1" applyBorder="1" applyAlignment="1">
      <alignment horizontal="left" vertical="top" wrapText="1"/>
    </xf>
    <xf numFmtId="0" fontId="19" fillId="34" borderId="16" xfId="0" applyFont="1" applyFill="1" applyBorder="1" applyAlignment="1" applyProtection="1">
      <alignment vertical="center"/>
      <protection locked="0"/>
    </xf>
    <xf numFmtId="0" fontId="24" fillId="34" borderId="16" xfId="0" applyFont="1" applyFill="1" applyBorder="1" applyAlignment="1" applyProtection="1">
      <alignment vertical="center"/>
      <protection locked="0"/>
    </xf>
    <xf numFmtId="0" fontId="24" fillId="34" borderId="15" xfId="0" applyFont="1" applyFill="1" applyBorder="1" applyAlignment="1" applyProtection="1">
      <alignment vertical="center"/>
      <protection locked="0"/>
    </xf>
    <xf numFmtId="0" fontId="46" fillId="0" borderId="20" xfId="0" applyFont="1" applyBorder="1" applyAlignment="1" applyProtection="1">
      <alignment horizontal="center" vertical="center"/>
      <protection locked="0"/>
    </xf>
    <xf numFmtId="0" fontId="23" fillId="34" borderId="10" xfId="0" applyFont="1" applyFill="1" applyBorder="1" applyAlignment="1" applyProtection="1">
      <alignment horizontal="left" vertical="top" wrapText="1"/>
      <protection locked="0"/>
    </xf>
    <xf numFmtId="0" fontId="135" fillId="34" borderId="10" xfId="0" applyFont="1" applyFill="1" applyBorder="1" applyAlignment="1" applyProtection="1">
      <alignment horizontal="left" vertical="top" wrapText="1"/>
      <protection locked="0"/>
    </xf>
    <xf numFmtId="0" fontId="51" fillId="34" borderId="10" xfId="0" applyFont="1" applyFill="1" applyBorder="1" applyAlignment="1" applyProtection="1">
      <alignment horizontal="left" vertical="top" wrapText="1"/>
      <protection locked="0"/>
    </xf>
    <xf numFmtId="0" fontId="46" fillId="34" borderId="13" xfId="0" applyFont="1" applyFill="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6" fillId="34" borderId="15" xfId="0" applyFont="1" applyFill="1" applyBorder="1" applyAlignment="1">
      <alignment horizontal="center" vertical="center"/>
    </xf>
    <xf numFmtId="0" fontId="46" fillId="0" borderId="17" xfId="0" applyFont="1" applyBorder="1" applyAlignment="1">
      <alignment horizontal="center" vertical="center"/>
    </xf>
    <xf numFmtId="0" fontId="46" fillId="0" borderId="13" xfId="0" applyFont="1" applyBorder="1" applyAlignment="1">
      <alignment horizontal="center" vertical="center"/>
    </xf>
    <xf numFmtId="0" fontId="46" fillId="0" borderId="20" xfId="0" applyFont="1" applyBorder="1" applyAlignment="1">
      <alignment horizontal="center" vertical="center"/>
    </xf>
    <xf numFmtId="0" fontId="44" fillId="50" borderId="11" xfId="0" applyFont="1" applyFill="1" applyBorder="1" applyAlignment="1" applyProtection="1">
      <alignment horizontal="left" vertical="center"/>
      <protection locked="0"/>
    </xf>
    <xf numFmtId="0" fontId="33" fillId="34" borderId="24" xfId="0" applyFont="1" applyFill="1" applyBorder="1" applyAlignment="1" applyProtection="1">
      <alignment horizontal="center" vertical="center" wrapText="1"/>
      <protection locked="0"/>
    </xf>
    <xf numFmtId="0" fontId="33" fillId="50" borderId="25" xfId="0" applyFont="1" applyFill="1" applyBorder="1" applyAlignment="1" applyProtection="1">
      <alignment horizontal="center" vertical="center" wrapText="1"/>
      <protection locked="0"/>
    </xf>
    <xf numFmtId="0" fontId="47" fillId="50" borderId="14" xfId="0" applyFont="1" applyFill="1" applyBorder="1" applyAlignment="1">
      <alignment horizontal="center" vertical="center"/>
    </xf>
    <xf numFmtId="0" fontId="47" fillId="50" borderId="10" xfId="0" applyFont="1" applyFill="1" applyBorder="1" applyAlignment="1">
      <alignment horizontal="center" vertical="center"/>
    </xf>
    <xf numFmtId="0" fontId="81" fillId="50" borderId="10" xfId="0" applyFont="1" applyFill="1" applyBorder="1" applyAlignment="1">
      <alignment horizontal="center" vertical="center"/>
    </xf>
    <xf numFmtId="0" fontId="124" fillId="50" borderId="10" xfId="0" applyFont="1" applyFill="1" applyBorder="1" applyAlignment="1">
      <alignment horizontal="center" vertical="center"/>
    </xf>
    <xf numFmtId="0" fontId="51" fillId="34" borderId="14" xfId="0" applyFont="1" applyFill="1" applyBorder="1" applyAlignment="1" applyProtection="1">
      <alignment horizontal="left" vertical="top" wrapText="1"/>
      <protection locked="0"/>
    </xf>
    <xf numFmtId="0" fontId="52" fillId="0" borderId="15" xfId="0" applyFont="1" applyBorder="1" applyAlignment="1" applyProtection="1">
      <alignment horizontal="center" vertical="center" wrapText="1"/>
      <protection locked="0"/>
    </xf>
    <xf numFmtId="0" fontId="23" fillId="0" borderId="16" xfId="0" applyFont="1" applyBorder="1" applyAlignment="1" applyProtection="1">
      <alignment horizontal="left" vertical="top" wrapText="1"/>
      <protection locked="0"/>
    </xf>
    <xf numFmtId="43" fontId="23" fillId="34" borderId="24" xfId="42" applyFont="1" applyFill="1" applyBorder="1" applyAlignment="1" applyProtection="1">
      <alignment horizontal="left" vertical="top" wrapText="1"/>
      <protection locked="0"/>
    </xf>
    <xf numFmtId="0" fontId="0" fillId="33" borderId="0" xfId="0" applyFill="1" applyProtection="1">
      <protection locked="0"/>
    </xf>
    <xf numFmtId="0" fontId="57" fillId="34" borderId="19" xfId="0" quotePrefix="1" applyFont="1" applyFill="1" applyBorder="1" applyAlignment="1" applyProtection="1">
      <alignment horizontal="center" vertical="center" wrapText="1"/>
      <protection locked="0"/>
    </xf>
    <xf numFmtId="0" fontId="16" fillId="50" borderId="11" xfId="0" applyFont="1" applyFill="1" applyBorder="1" applyAlignment="1" applyProtection="1">
      <alignment horizontal="center" vertical="center"/>
      <protection locked="0"/>
    </xf>
    <xf numFmtId="0" fontId="16" fillId="50" borderId="12" xfId="0" applyFont="1" applyFill="1" applyBorder="1" applyAlignment="1" applyProtection="1">
      <alignment horizontal="center" vertical="center"/>
      <protection locked="0"/>
    </xf>
    <xf numFmtId="0" fontId="0" fillId="34" borderId="16" xfId="0" applyFill="1" applyBorder="1" applyAlignment="1" applyProtection="1">
      <alignment vertical="center"/>
      <protection locked="0"/>
    </xf>
    <xf numFmtId="0" fontId="23" fillId="34" borderId="12" xfId="0" applyFont="1" applyFill="1" applyBorder="1" applyAlignment="1" applyProtection="1">
      <alignment horizontal="left" vertical="top" wrapText="1"/>
      <protection locked="0"/>
    </xf>
    <xf numFmtId="0" fontId="53" fillId="34" borderId="15" xfId="0" applyFont="1" applyFill="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54" fillId="34" borderId="19" xfId="0" applyFont="1" applyFill="1" applyBorder="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53" fillId="0" borderId="13" xfId="0" applyFont="1" applyBorder="1" applyAlignment="1" applyProtection="1">
      <alignment horizontal="center" vertical="center"/>
      <protection locked="0"/>
    </xf>
    <xf numFmtId="0" fontId="54" fillId="0" borderId="13" xfId="0" quotePrefix="1" applyFont="1" applyBorder="1" applyAlignment="1" applyProtection="1">
      <alignment horizontal="center" vertical="center"/>
      <protection locked="0"/>
    </xf>
    <xf numFmtId="0" fontId="54" fillId="0" borderId="17" xfId="0" quotePrefix="1" applyFont="1" applyBorder="1" applyAlignment="1" applyProtection="1">
      <alignment horizontal="center" vertical="center"/>
      <protection locked="0"/>
    </xf>
    <xf numFmtId="0" fontId="53" fillId="34" borderId="19" xfId="0" applyFont="1" applyFill="1" applyBorder="1" applyAlignment="1" applyProtection="1">
      <alignment horizontal="center" vertical="center"/>
      <protection locked="0"/>
    </xf>
    <xf numFmtId="0" fontId="53" fillId="34" borderId="13" xfId="0" applyFont="1" applyFill="1" applyBorder="1" applyAlignment="1" applyProtection="1">
      <alignment horizontal="center" vertical="center"/>
      <protection locked="0"/>
    </xf>
    <xf numFmtId="0" fontId="48" fillId="34" borderId="15" xfId="0" applyFont="1" applyFill="1" applyBorder="1" applyAlignment="1" applyProtection="1">
      <alignment vertical="center"/>
      <protection locked="0"/>
    </xf>
    <xf numFmtId="9" fontId="55" fillId="34" borderId="10" xfId="0" applyNumberFormat="1" applyFont="1" applyFill="1" applyBorder="1" applyAlignment="1">
      <alignment horizontal="center" vertical="center"/>
    </xf>
    <xf numFmtId="0" fontId="37" fillId="0" borderId="15" xfId="0" applyFont="1" applyBorder="1" applyAlignment="1" applyProtection="1">
      <alignment horizontal="center" vertical="center"/>
      <protection locked="0"/>
    </xf>
    <xf numFmtId="0" fontId="31" fillId="0" borderId="15" xfId="0" applyFont="1" applyBorder="1" applyAlignment="1" applyProtection="1">
      <alignment vertical="center"/>
      <protection locked="0"/>
    </xf>
    <xf numFmtId="0" fontId="47" fillId="34" borderId="0" xfId="0" applyFont="1" applyFill="1" applyAlignment="1">
      <alignment horizontal="center" vertical="center" wrapText="1"/>
    </xf>
    <xf numFmtId="1" fontId="68" fillId="34" borderId="0" xfId="0" applyNumberFormat="1" applyFont="1" applyFill="1" applyAlignment="1">
      <alignment vertical="center"/>
    </xf>
    <xf numFmtId="1" fontId="44" fillId="34" borderId="0" xfId="0" applyNumberFormat="1" applyFont="1" applyFill="1" applyAlignment="1">
      <alignment vertical="center"/>
    </xf>
    <xf numFmtId="0" fontId="47" fillId="34" borderId="13" xfId="0" applyFont="1" applyFill="1" applyBorder="1" applyAlignment="1">
      <alignment horizontal="center" vertical="center" wrapText="1"/>
    </xf>
    <xf numFmtId="0" fontId="0" fillId="33" borderId="13" xfId="0" applyFill="1" applyBorder="1" applyAlignment="1">
      <alignment vertical="center"/>
    </xf>
    <xf numFmtId="0" fontId="68" fillId="34" borderId="14" xfId="0" applyFont="1" applyFill="1" applyBorder="1" applyAlignment="1">
      <alignment horizontal="right" vertical="center" wrapText="1"/>
    </xf>
    <xf numFmtId="0" fontId="68" fillId="48" borderId="14" xfId="0" applyFont="1" applyFill="1" applyBorder="1" applyAlignment="1">
      <alignment horizontal="right" vertical="center"/>
    </xf>
    <xf numFmtId="164" fontId="42" fillId="34" borderId="0" xfId="0" applyNumberFormat="1" applyFont="1" applyFill="1" applyAlignment="1">
      <alignment vertical="center"/>
    </xf>
    <xf numFmtId="164" fontId="65" fillId="34" borderId="0" xfId="0" applyNumberFormat="1" applyFont="1" applyFill="1" applyAlignment="1">
      <alignment vertical="center"/>
    </xf>
    <xf numFmtId="9" fontId="0" fillId="34" borderId="0" xfId="0" applyNumberFormat="1" applyFill="1" applyAlignment="1">
      <alignment vertical="center"/>
    </xf>
    <xf numFmtId="1" fontId="21" fillId="33" borderId="10" xfId="0" applyNumberFormat="1" applyFont="1" applyFill="1" applyBorder="1" applyAlignment="1">
      <alignment vertical="center"/>
    </xf>
    <xf numFmtId="0" fontId="0" fillId="34" borderId="21" xfId="0" applyFill="1" applyBorder="1" applyAlignment="1">
      <alignment vertical="center"/>
    </xf>
    <xf numFmtId="0" fontId="25" fillId="35" borderId="19" xfId="0" applyFont="1" applyFill="1" applyBorder="1" applyAlignment="1">
      <alignment vertical="center"/>
    </xf>
    <xf numFmtId="0" fontId="25" fillId="35" borderId="0" xfId="0" applyFont="1" applyFill="1" applyAlignment="1">
      <alignment horizontal="center"/>
    </xf>
    <xf numFmtId="0" fontId="39" fillId="35" borderId="20" xfId="0" applyFont="1" applyFill="1" applyBorder="1" applyAlignment="1">
      <alignment vertical="center"/>
    </xf>
    <xf numFmtId="164" fontId="21" fillId="33" borderId="13" xfId="0" applyNumberFormat="1" applyFont="1" applyFill="1" applyBorder="1" applyAlignment="1">
      <alignment vertical="center"/>
    </xf>
    <xf numFmtId="1" fontId="47" fillId="34" borderId="13" xfId="0" applyNumberFormat="1" applyFont="1" applyFill="1" applyBorder="1" applyAlignment="1">
      <alignment vertical="center"/>
    </xf>
    <xf numFmtId="1" fontId="81" fillId="34" borderId="13" xfId="0" applyNumberFormat="1" applyFont="1" applyFill="1" applyBorder="1" applyAlignment="1">
      <alignment vertical="center"/>
    </xf>
    <xf numFmtId="165" fontId="21" fillId="34" borderId="10" xfId="0" applyNumberFormat="1" applyFont="1" applyFill="1" applyBorder="1" applyAlignment="1">
      <alignment horizontal="center" vertical="center"/>
    </xf>
    <xf numFmtId="0" fontId="68" fillId="34" borderId="10" xfId="0" applyFont="1" applyFill="1" applyBorder="1" applyAlignment="1">
      <alignment horizontal="center" vertical="center" wrapText="1"/>
    </xf>
    <xf numFmtId="0" fontId="136" fillId="34" borderId="10" xfId="0" applyFont="1" applyFill="1" applyBorder="1" applyAlignment="1">
      <alignment horizontal="center" vertical="center" wrapText="1"/>
    </xf>
    <xf numFmtId="0" fontId="77" fillId="34" borderId="10" xfId="0" applyFont="1" applyFill="1" applyBorder="1" applyAlignment="1">
      <alignment horizontal="center" vertical="center" wrapText="1"/>
    </xf>
    <xf numFmtId="0" fontId="68" fillId="34" borderId="10" xfId="0" quotePrefix="1" applyFont="1" applyFill="1" applyBorder="1" applyAlignment="1">
      <alignment horizontal="center" vertical="center" wrapText="1"/>
    </xf>
    <xf numFmtId="0" fontId="93" fillId="33" borderId="0" xfId="0" applyFont="1" applyFill="1" applyProtection="1">
      <protection hidden="1"/>
    </xf>
    <xf numFmtId="0" fontId="68" fillId="35" borderId="10" xfId="0" applyFont="1" applyFill="1" applyBorder="1" applyAlignment="1">
      <alignment horizontal="center" vertical="top" wrapText="1"/>
    </xf>
    <xf numFmtId="0" fontId="52" fillId="0" borderId="15" xfId="0" applyFont="1" applyBorder="1" applyAlignment="1" applyProtection="1">
      <alignment horizontal="center" vertical="top" wrapText="1"/>
      <protection locked="0"/>
    </xf>
    <xf numFmtId="0" fontId="23" fillId="34" borderId="24" xfId="0" applyFont="1" applyFill="1" applyBorder="1" applyAlignment="1" applyProtection="1">
      <alignment vertical="top" wrapText="1"/>
      <protection locked="0"/>
    </xf>
    <xf numFmtId="0" fontId="52" fillId="0" borderId="10" xfId="0" quotePrefix="1" applyFont="1" applyBorder="1" applyAlignment="1" applyProtection="1">
      <alignment horizontal="center" vertical="top" wrapText="1"/>
      <protection locked="0"/>
    </xf>
    <xf numFmtId="0" fontId="51" fillId="0" borderId="12" xfId="0" applyFont="1" applyBorder="1" applyAlignment="1" applyProtection="1">
      <alignment horizontal="left" vertical="top" wrapText="1"/>
      <protection locked="0"/>
    </xf>
    <xf numFmtId="0" fontId="137" fillId="0" borderId="0" xfId="0" applyFont="1" applyAlignment="1">
      <alignment vertical="center"/>
    </xf>
    <xf numFmtId="0" fontId="63" fillId="33" borderId="10" xfId="0" applyFont="1" applyFill="1" applyBorder="1" applyAlignment="1">
      <alignment horizontal="center" vertical="center"/>
    </xf>
    <xf numFmtId="0" fontId="97" fillId="33" borderId="0" xfId="0" applyFont="1" applyFill="1" applyAlignment="1">
      <alignment vertical="center" wrapText="1"/>
    </xf>
    <xf numFmtId="0" fontId="63" fillId="33" borderId="11" xfId="0" applyFont="1" applyFill="1" applyBorder="1" applyAlignment="1">
      <alignment horizontal="center" vertical="center"/>
    </xf>
    <xf numFmtId="0" fontId="98" fillId="33" borderId="10" xfId="0" applyFont="1" applyFill="1" applyBorder="1" applyAlignment="1">
      <alignment horizontal="right" vertical="center" wrapText="1"/>
    </xf>
    <xf numFmtId="0" fontId="49" fillId="0" borderId="15" xfId="0" quotePrefix="1" applyFont="1" applyBorder="1" applyAlignment="1" applyProtection="1">
      <alignment horizontal="center" vertical="center"/>
      <protection locked="0"/>
    </xf>
    <xf numFmtId="0" fontId="63" fillId="33" borderId="12" xfId="0" applyFont="1" applyFill="1" applyBorder="1" applyAlignment="1">
      <alignment horizontal="center" vertical="center"/>
    </xf>
    <xf numFmtId="0" fontId="48" fillId="0" borderId="0" xfId="0" applyFont="1"/>
    <xf numFmtId="0" fontId="112" fillId="0" borderId="0" xfId="0" applyFont="1" applyAlignment="1">
      <alignment vertical="center"/>
    </xf>
    <xf numFmtId="0" fontId="48" fillId="0" borderId="0" xfId="0" applyFont="1" applyAlignment="1">
      <alignment horizontal="left" vertical="center" wrapText="1"/>
    </xf>
    <xf numFmtId="0" fontId="74" fillId="0" borderId="15" xfId="0" applyFont="1" applyBorder="1" applyAlignment="1">
      <alignment vertical="center" wrapText="1"/>
    </xf>
    <xf numFmtId="0" fontId="66" fillId="0" borderId="13" xfId="0" applyFont="1" applyBorder="1" applyAlignment="1">
      <alignment horizontal="justify" vertical="center"/>
    </xf>
    <xf numFmtId="0" fontId="66" fillId="0" borderId="13" xfId="0" applyFont="1" applyBorder="1" applyAlignment="1">
      <alignment horizontal="justify" vertical="center" wrapText="1"/>
    </xf>
    <xf numFmtId="0" fontId="66" fillId="0" borderId="13" xfId="0" applyFont="1" applyBorder="1" applyAlignment="1">
      <alignment vertical="center" wrapText="1"/>
    </xf>
    <xf numFmtId="0" fontId="66" fillId="0" borderId="13" xfId="0" applyFont="1" applyBorder="1" applyAlignment="1">
      <alignment vertical="center"/>
    </xf>
    <xf numFmtId="0" fontId="143" fillId="0" borderId="13" xfId="0" applyFont="1" applyBorder="1" applyAlignment="1">
      <alignment horizontal="justify" vertical="center" wrapText="1"/>
    </xf>
    <xf numFmtId="0" fontId="143" fillId="0" borderId="13" xfId="0" applyFont="1" applyBorder="1" applyAlignment="1">
      <alignment horizontal="justify" vertical="center"/>
    </xf>
    <xf numFmtId="0" fontId="145" fillId="0" borderId="15" xfId="0" applyFont="1" applyBorder="1" applyAlignment="1">
      <alignment vertical="center" wrapText="1"/>
    </xf>
    <xf numFmtId="0" fontId="144" fillId="0" borderId="13" xfId="0" applyFont="1" applyBorder="1" applyAlignment="1">
      <alignment horizontal="justify" vertical="center"/>
    </xf>
    <xf numFmtId="0" fontId="48" fillId="0" borderId="0" xfId="0" applyFont="1" applyAlignment="1">
      <alignment vertical="center"/>
    </xf>
    <xf numFmtId="0" fontId="147" fillId="0" borderId="26" xfId="0" applyFont="1" applyBorder="1" applyAlignment="1" applyProtection="1">
      <alignment horizontal="left" vertical="center" wrapText="1"/>
      <protection locked="0"/>
    </xf>
    <xf numFmtId="0" fontId="147" fillId="0" borderId="26" xfId="0" quotePrefix="1" applyFont="1" applyBorder="1" applyAlignment="1" applyProtection="1">
      <alignment horizontal="left" vertical="center" wrapText="1"/>
      <protection locked="0"/>
    </xf>
    <xf numFmtId="0" fontId="54" fillId="34" borderId="13" xfId="0" quotePrefix="1" applyFont="1" applyFill="1" applyBorder="1" applyAlignment="1" applyProtection="1">
      <alignment horizontal="center" vertical="center"/>
      <protection locked="0"/>
    </xf>
    <xf numFmtId="0" fontId="32" fillId="0" borderId="26" xfId="0" applyFont="1" applyBorder="1" applyAlignment="1" applyProtection="1">
      <alignment horizontal="left" vertical="center" wrapText="1"/>
      <protection locked="0"/>
    </xf>
    <xf numFmtId="0" fontId="148" fillId="0" borderId="26" xfId="0" applyFont="1" applyBorder="1" applyAlignment="1" applyProtection="1">
      <alignment vertical="center" wrapText="1"/>
      <protection locked="0"/>
    </xf>
    <xf numFmtId="0" fontId="149" fillId="0" borderId="26" xfId="0" applyFont="1" applyBorder="1" applyAlignment="1" applyProtection="1">
      <alignment vertical="center" wrapText="1"/>
      <protection locked="0"/>
    </xf>
    <xf numFmtId="0" fontId="150" fillId="0" borderId="26" xfId="0" applyFont="1" applyBorder="1" applyAlignment="1" applyProtection="1">
      <alignment vertical="center" wrapText="1"/>
      <protection locked="0"/>
    </xf>
    <xf numFmtId="0" fontId="151" fillId="0" borderId="26" xfId="0" applyFont="1" applyBorder="1" applyAlignment="1" applyProtection="1">
      <alignment horizontal="center" vertical="center" wrapText="1"/>
      <protection locked="0"/>
    </xf>
    <xf numFmtId="0" fontId="152" fillId="0" borderId="26" xfId="0" applyFont="1" applyBorder="1" applyAlignment="1" applyProtection="1">
      <alignment vertical="center" wrapText="1"/>
      <protection locked="0"/>
    </xf>
    <xf numFmtId="0" fontId="153" fillId="0" borderId="26" xfId="0" applyFont="1" applyBorder="1" applyAlignment="1" applyProtection="1">
      <alignment vertical="center" wrapText="1"/>
      <protection locked="0"/>
    </xf>
    <xf numFmtId="0" fontId="154" fillId="0" borderId="26" xfId="0" applyFont="1" applyBorder="1" applyAlignment="1" applyProtection="1">
      <alignment vertical="center" wrapText="1"/>
      <protection locked="0"/>
    </xf>
    <xf numFmtId="0" fontId="154" fillId="0" borderId="26" xfId="0" applyFont="1" applyBorder="1" applyAlignment="1" applyProtection="1">
      <alignment horizontal="center" vertical="center"/>
      <protection locked="0"/>
    </xf>
    <xf numFmtId="0" fontId="155" fillId="0" borderId="26" xfId="0" applyFont="1" applyBorder="1" applyAlignment="1" applyProtection="1">
      <alignment horizontal="center" vertical="center"/>
      <protection locked="0"/>
    </xf>
    <xf numFmtId="0" fontId="156" fillId="0" borderId="26" xfId="0" applyFont="1" applyBorder="1" applyAlignment="1" applyProtection="1">
      <alignment vertical="center" wrapText="1"/>
      <protection locked="0"/>
    </xf>
    <xf numFmtId="0" fontId="157" fillId="0" borderId="10" xfId="0" applyFont="1" applyBorder="1" applyAlignment="1" applyProtection="1">
      <alignment horizontal="left" vertical="top" wrapText="1"/>
      <protection locked="0"/>
    </xf>
    <xf numFmtId="0" fontId="23" fillId="52" borderId="10" xfId="0" applyFont="1" applyFill="1" applyBorder="1" applyAlignment="1" applyProtection="1">
      <alignment horizontal="center" vertical="center"/>
      <protection locked="0"/>
    </xf>
    <xf numFmtId="0" fontId="23" fillId="0" borderId="10" xfId="0" applyFont="1" applyBorder="1" applyAlignment="1" applyProtection="1">
      <alignment horizontal="center" vertical="center" wrapText="1"/>
      <protection locked="0"/>
    </xf>
    <xf numFmtId="0" fontId="158" fillId="0" borderId="26" xfId="0" applyFont="1" applyBorder="1" applyAlignment="1" applyProtection="1">
      <alignment vertical="center" wrapText="1"/>
      <protection locked="0"/>
    </xf>
    <xf numFmtId="0" fontId="69" fillId="0" borderId="10" xfId="0" applyFont="1" applyBorder="1" applyAlignment="1" applyProtection="1">
      <alignment vertical="center" wrapText="1"/>
      <protection locked="0"/>
    </xf>
    <xf numFmtId="0" fontId="159" fillId="0" borderId="10" xfId="0" applyFont="1" applyBorder="1" applyAlignment="1" applyProtection="1">
      <alignment vertical="center" wrapText="1"/>
      <protection locked="0"/>
    </xf>
    <xf numFmtId="0" fontId="33" fillId="34" borderId="15" xfId="0" applyFont="1" applyFill="1" applyBorder="1" applyAlignment="1">
      <alignment horizontal="left" vertical="center" wrapText="1"/>
    </xf>
    <xf numFmtId="0" fontId="158" fillId="0" borderId="26"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150" fillId="0" borderId="26" xfId="0" applyFont="1" applyBorder="1" applyAlignment="1" applyProtection="1">
      <alignment horizontal="center" vertical="center"/>
      <protection locked="0"/>
    </xf>
    <xf numFmtId="1" fontId="20" fillId="34" borderId="10" xfId="0" applyNumberFormat="1" applyFont="1" applyFill="1" applyBorder="1" applyAlignment="1">
      <alignment vertical="center"/>
    </xf>
    <xf numFmtId="9" fontId="161" fillId="35" borderId="10" xfId="0" applyNumberFormat="1" applyFont="1" applyFill="1" applyBorder="1"/>
    <xf numFmtId="0" fontId="162" fillId="0" borderId="15" xfId="0" applyFont="1" applyBorder="1" applyAlignment="1">
      <alignment vertical="center"/>
    </xf>
    <xf numFmtId="0" fontId="163" fillId="34" borderId="15" xfId="0" applyFont="1" applyFill="1" applyBorder="1" applyAlignment="1">
      <alignment horizontal="center" vertical="center"/>
    </xf>
    <xf numFmtId="0" fontId="164" fillId="0" borderId="15" xfId="0" applyFont="1" applyBorder="1" applyAlignment="1">
      <alignment vertical="center"/>
    </xf>
    <xf numFmtId="0" fontId="133" fillId="0" borderId="10" xfId="0" applyFont="1" applyBorder="1" applyAlignment="1">
      <alignment horizontal="left" vertical="top"/>
    </xf>
    <xf numFmtId="0" fontId="164" fillId="0" borderId="15" xfId="0" applyFont="1" applyBorder="1" applyAlignment="1" applyProtection="1">
      <alignment vertical="center"/>
      <protection locked="0"/>
    </xf>
    <xf numFmtId="0" fontId="45" fillId="0" borderId="21" xfId="0" applyFont="1" applyBorder="1" applyAlignment="1">
      <alignment vertical="center" textRotation="90"/>
    </xf>
    <xf numFmtId="0" fontId="45" fillId="0" borderId="10" xfId="0" applyFont="1" applyBorder="1" applyAlignment="1">
      <alignment vertical="center" textRotation="90"/>
    </xf>
    <xf numFmtId="0" fontId="19" fillId="33" borderId="10" xfId="0" applyFont="1" applyFill="1" applyBorder="1" applyAlignment="1">
      <alignment horizontal="left" vertical="center" wrapText="1"/>
    </xf>
    <xf numFmtId="0" fontId="166" fillId="33" borderId="0" xfId="0" applyFont="1" applyFill="1"/>
    <xf numFmtId="0" fontId="63" fillId="0" borderId="10" xfId="0" applyFont="1" applyBorder="1" applyAlignment="1">
      <alignment vertical="center"/>
    </xf>
    <xf numFmtId="0" fontId="63" fillId="0" borderId="10" xfId="0" applyFont="1" applyBorder="1" applyAlignment="1" applyProtection="1">
      <alignment vertical="center"/>
      <protection locked="0"/>
    </xf>
    <xf numFmtId="0" fontId="23" fillId="0" borderId="13" xfId="0" applyFont="1" applyBorder="1" applyAlignment="1" applyProtection="1">
      <alignment horizontal="left"/>
      <protection locked="0"/>
    </xf>
    <xf numFmtId="0" fontId="23" fillId="0" borderId="15" xfId="0" applyFont="1" applyBorder="1" applyAlignment="1" applyProtection="1">
      <alignment horizontal="left"/>
      <protection locked="0"/>
    </xf>
    <xf numFmtId="0" fontId="23" fillId="0" borderId="14" xfId="0" applyFont="1" applyBorder="1" applyAlignment="1" applyProtection="1">
      <alignment horizontal="left"/>
      <protection locked="0"/>
    </xf>
    <xf numFmtId="0" fontId="0" fillId="33" borderId="13" xfId="0" applyFill="1" applyBorder="1" applyAlignment="1">
      <alignment horizontal="left" vertical="top" wrapText="1"/>
    </xf>
    <xf numFmtId="0" fontId="0" fillId="33" borderId="15" xfId="0" applyFill="1" applyBorder="1" applyAlignment="1">
      <alignment horizontal="left" vertical="top" wrapText="1"/>
    </xf>
    <xf numFmtId="0" fontId="0" fillId="33" borderId="14" xfId="0" applyFill="1" applyBorder="1" applyAlignment="1">
      <alignment horizontal="left" vertical="top" wrapText="1"/>
    </xf>
    <xf numFmtId="0" fontId="42" fillId="33" borderId="13" xfId="0" applyFont="1" applyFill="1" applyBorder="1" applyAlignment="1">
      <alignment horizontal="left" vertical="top" wrapText="1"/>
    </xf>
    <xf numFmtId="0" fontId="42" fillId="33" borderId="15" xfId="0" applyFont="1" applyFill="1" applyBorder="1" applyAlignment="1">
      <alignment horizontal="left" vertical="top" wrapText="1"/>
    </xf>
    <xf numFmtId="0" fontId="42" fillId="33" borderId="22" xfId="0" applyFont="1" applyFill="1" applyBorder="1" applyAlignment="1">
      <alignment horizontal="left" vertical="top" wrapText="1"/>
    </xf>
    <xf numFmtId="0" fontId="42" fillId="33" borderId="23" xfId="0" applyFont="1" applyFill="1" applyBorder="1" applyAlignment="1">
      <alignment horizontal="left" vertical="top" wrapText="1"/>
    </xf>
    <xf numFmtId="0" fontId="16" fillId="51" borderId="10" xfId="0" applyFont="1" applyFill="1" applyBorder="1" applyAlignment="1">
      <alignment horizontal="center"/>
    </xf>
    <xf numFmtId="0" fontId="16" fillId="45" borderId="10" xfId="0" applyFont="1" applyFill="1" applyBorder="1" applyAlignment="1">
      <alignment horizontal="center"/>
    </xf>
    <xf numFmtId="0" fontId="124" fillId="34" borderId="11" xfId="0" applyFont="1" applyFill="1" applyBorder="1" applyAlignment="1">
      <alignment horizontal="center" vertical="center" textRotation="90"/>
    </xf>
    <xf numFmtId="0" fontId="124" fillId="34" borderId="12" xfId="0" applyFont="1" applyFill="1" applyBorder="1" applyAlignment="1">
      <alignment horizontal="center" vertical="center" textRotation="90"/>
    </xf>
    <xf numFmtId="0" fontId="57" fillId="50" borderId="11" xfId="0" quotePrefix="1" applyFont="1" applyFill="1" applyBorder="1" applyAlignment="1" applyProtection="1">
      <alignment horizontal="center" vertical="center" wrapText="1"/>
      <protection locked="0"/>
    </xf>
    <xf numFmtId="0" fontId="57" fillId="50" borderId="12" xfId="0" quotePrefix="1" applyFont="1" applyFill="1" applyBorder="1" applyAlignment="1" applyProtection="1">
      <alignment horizontal="center" vertical="center" wrapText="1"/>
      <protection locked="0"/>
    </xf>
    <xf numFmtId="0" fontId="92" fillId="34" borderId="13" xfId="0" applyFont="1" applyFill="1" applyBorder="1" applyAlignment="1">
      <alignment horizontal="center" vertical="center"/>
    </xf>
    <xf numFmtId="0" fontId="92" fillId="34" borderId="15" xfId="0" applyFont="1" applyFill="1" applyBorder="1" applyAlignment="1">
      <alignment horizontal="center" vertical="center"/>
    </xf>
    <xf numFmtId="0" fontId="92" fillId="34" borderId="14" xfId="0" applyFont="1" applyFill="1" applyBorder="1" applyAlignment="1">
      <alignment horizontal="center" vertical="center"/>
    </xf>
    <xf numFmtId="9" fontId="52" fillId="34" borderId="13" xfId="0" applyNumberFormat="1" applyFont="1" applyFill="1" applyBorder="1" applyAlignment="1">
      <alignment horizontal="center" vertical="center"/>
    </xf>
    <xf numFmtId="9" fontId="52" fillId="34" borderId="15" xfId="0" applyNumberFormat="1" applyFont="1" applyFill="1" applyBorder="1" applyAlignment="1">
      <alignment horizontal="center" vertical="center"/>
    </xf>
    <xf numFmtId="9" fontId="52" fillId="34" borderId="14" xfId="0" applyNumberFormat="1" applyFont="1" applyFill="1" applyBorder="1" applyAlignment="1">
      <alignment horizontal="center" vertical="center"/>
    </xf>
    <xf numFmtId="0" fontId="44" fillId="50" borderId="13" xfId="0" quotePrefix="1" applyFont="1" applyFill="1" applyBorder="1" applyAlignment="1">
      <alignment horizontal="center" vertical="center"/>
    </xf>
    <xf numFmtId="0" fontId="44" fillId="50" borderId="15" xfId="0" quotePrefix="1" applyFont="1" applyFill="1" applyBorder="1" applyAlignment="1">
      <alignment horizontal="center" vertical="center"/>
    </xf>
    <xf numFmtId="0" fontId="44" fillId="50" borderId="14" xfId="0" quotePrefix="1" applyFont="1" applyFill="1" applyBorder="1" applyAlignment="1">
      <alignment horizontal="center" vertical="center"/>
    </xf>
    <xf numFmtId="0" fontId="120" fillId="34" borderId="13" xfId="0" applyFont="1" applyFill="1" applyBorder="1" applyAlignment="1" applyProtection="1">
      <alignment horizontal="center" vertical="center"/>
      <protection locked="0"/>
    </xf>
    <xf numFmtId="0" fontId="120" fillId="34" borderId="15" xfId="0" applyFont="1" applyFill="1" applyBorder="1" applyAlignment="1" applyProtection="1">
      <alignment horizontal="center" vertical="center"/>
      <protection locked="0"/>
    </xf>
    <xf numFmtId="0" fontId="120" fillId="34" borderId="14" xfId="0" applyFont="1" applyFill="1" applyBorder="1" applyAlignment="1" applyProtection="1">
      <alignment horizontal="center" vertical="center"/>
      <protection locked="0"/>
    </xf>
    <xf numFmtId="0" fontId="51" fillId="34" borderId="13" xfId="0" applyFont="1" applyFill="1" applyBorder="1" applyAlignment="1">
      <alignment horizontal="center" vertical="center"/>
    </xf>
    <xf numFmtId="0" fontId="51" fillId="34" borderId="15" xfId="0" applyFont="1" applyFill="1" applyBorder="1" applyAlignment="1">
      <alignment horizontal="center" vertical="center"/>
    </xf>
    <xf numFmtId="0" fontId="51" fillId="34" borderId="14" xfId="0" applyFont="1" applyFill="1" applyBorder="1" applyAlignment="1">
      <alignment horizontal="center" vertical="center"/>
    </xf>
    <xf numFmtId="9" fontId="52" fillId="34" borderId="10" xfId="0" applyNumberFormat="1" applyFont="1" applyFill="1" applyBorder="1" applyAlignment="1">
      <alignment horizontal="center" vertical="center"/>
    </xf>
    <xf numFmtId="0" fontId="39" fillId="45" borderId="10" xfId="0" applyFont="1" applyFill="1" applyBorder="1" applyAlignment="1">
      <alignment horizontal="center" vertical="center"/>
    </xf>
    <xf numFmtId="9" fontId="92" fillId="33" borderId="10" xfId="43" applyFont="1" applyFill="1" applyBorder="1" applyAlignment="1">
      <alignment horizontal="center" vertical="center"/>
    </xf>
    <xf numFmtId="0" fontId="16" fillId="35" borderId="12" xfId="0" applyFont="1" applyFill="1" applyBorder="1" applyAlignment="1">
      <alignment horizontal="center" vertical="center" wrapText="1"/>
    </xf>
    <xf numFmtId="0" fontId="16" fillId="35" borderId="12" xfId="0" applyFont="1" applyFill="1" applyBorder="1" applyAlignment="1">
      <alignment horizontal="center" vertical="center"/>
    </xf>
    <xf numFmtId="0" fontId="25" fillId="35" borderId="12" xfId="0" applyFont="1" applyFill="1" applyBorder="1" applyAlignment="1">
      <alignment horizontal="center" vertical="center"/>
    </xf>
    <xf numFmtId="0" fontId="25" fillId="35" borderId="20" xfId="0" applyFont="1" applyFill="1" applyBorder="1" applyAlignment="1">
      <alignment horizontal="center" vertical="center"/>
    </xf>
    <xf numFmtId="0" fontId="25" fillId="35" borderId="24" xfId="0" applyFont="1" applyFill="1" applyBorder="1" applyAlignment="1">
      <alignment horizontal="center" vertical="center"/>
    </xf>
    <xf numFmtId="0" fontId="23" fillId="0" borderId="13"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36" fillId="35" borderId="13" xfId="0" applyFont="1" applyFill="1" applyBorder="1" applyAlignment="1" applyProtection="1">
      <alignment horizontal="center" vertical="center"/>
      <protection locked="0"/>
    </xf>
    <xf numFmtId="0" fontId="36" fillId="35" borderId="15" xfId="0" applyFont="1" applyFill="1" applyBorder="1" applyAlignment="1" applyProtection="1">
      <alignment horizontal="center" vertical="center"/>
      <protection locked="0"/>
    </xf>
    <xf numFmtId="0" fontId="36" fillId="35" borderId="14" xfId="0" applyFont="1" applyFill="1" applyBorder="1" applyAlignment="1" applyProtection="1">
      <alignment horizontal="center" vertical="center"/>
      <protection locked="0"/>
    </xf>
    <xf numFmtId="0" fontId="68" fillId="35" borderId="12" xfId="0" applyFont="1" applyFill="1" applyBorder="1" applyAlignment="1">
      <alignment horizontal="right" vertical="center"/>
    </xf>
    <xf numFmtId="0" fontId="84" fillId="35" borderId="13" xfId="0" applyFont="1" applyFill="1" applyBorder="1" applyAlignment="1">
      <alignment horizontal="left" vertical="center"/>
    </xf>
    <xf numFmtId="0" fontId="84" fillId="35" borderId="14" xfId="0" applyFont="1" applyFill="1" applyBorder="1" applyAlignment="1">
      <alignment horizontal="left" vertical="center"/>
    </xf>
    <xf numFmtId="0" fontId="42" fillId="34" borderId="13" xfId="0" applyFont="1" applyFill="1" applyBorder="1" applyAlignment="1">
      <alignment horizontal="center" vertical="center"/>
    </xf>
    <xf numFmtId="0" fontId="42" fillId="34" borderId="15" xfId="0" applyFont="1" applyFill="1" applyBorder="1" applyAlignment="1">
      <alignment horizontal="center" vertical="center"/>
    </xf>
    <xf numFmtId="0" fontId="42" fillId="34" borderId="14" xfId="0" applyFont="1" applyFill="1" applyBorder="1" applyAlignment="1">
      <alignment horizontal="center" vertical="center"/>
    </xf>
    <xf numFmtId="0" fontId="25" fillId="35" borderId="17" xfId="0" applyFont="1" applyFill="1" applyBorder="1" applyAlignment="1">
      <alignment horizontal="center"/>
    </xf>
    <xf numFmtId="0" fontId="25" fillId="35" borderId="22" xfId="0" applyFont="1" applyFill="1" applyBorder="1" applyAlignment="1">
      <alignment horizontal="center"/>
    </xf>
    <xf numFmtId="0" fontId="25" fillId="35" borderId="23" xfId="0" applyFont="1" applyFill="1" applyBorder="1" applyAlignment="1">
      <alignment horizontal="center"/>
    </xf>
    <xf numFmtId="0" fontId="25" fillId="35" borderId="20" xfId="0" applyFont="1" applyFill="1" applyBorder="1" applyAlignment="1">
      <alignment horizontal="center"/>
    </xf>
    <xf numFmtId="0" fontId="25" fillId="35" borderId="19" xfId="0" applyFont="1" applyFill="1" applyBorder="1" applyAlignment="1">
      <alignment horizontal="center"/>
    </xf>
    <xf numFmtId="0" fontId="25" fillId="35" borderId="24" xfId="0" applyFont="1" applyFill="1" applyBorder="1" applyAlignment="1">
      <alignment horizontal="center"/>
    </xf>
    <xf numFmtId="0" fontId="0" fillId="34" borderId="10" xfId="0" applyFill="1" applyBorder="1" applyAlignment="1">
      <alignment horizontal="center" vertical="center"/>
    </xf>
    <xf numFmtId="0" fontId="0" fillId="34" borderId="11"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12" xfId="0" applyFill="1" applyBorder="1" applyAlignment="1">
      <alignment horizontal="center" vertical="center" wrapText="1"/>
    </xf>
    <xf numFmtId="0" fontId="16" fillId="47" borderId="10" xfId="0" applyFont="1" applyFill="1" applyBorder="1" applyAlignment="1">
      <alignment horizontal="center" vertical="center" wrapText="1"/>
    </xf>
    <xf numFmtId="0" fontId="140" fillId="0" borderId="0" xfId="0" applyFont="1" applyAlignment="1">
      <alignment horizontal="center" vertical="center" wrapText="1"/>
    </xf>
    <xf numFmtId="0" fontId="141" fillId="0" borderId="0" xfId="0" applyFont="1" applyAlignment="1">
      <alignment horizontal="center" vertical="center" wrapText="1"/>
    </xf>
  </cellXfs>
  <cellStyles count="47">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Porcentagem" xfId="43" builtinId="5"/>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xfId="42" builtinId="3"/>
    <cellStyle name="Vírgula 2" xfId="44" xr:uid="{D551D9BE-4231-473A-BF83-42B3D1A31C82}"/>
    <cellStyle name="Vírgula 2 2" xfId="46" xr:uid="{3BD9B358-4A01-41D5-9D55-32F40CB8ED1C}"/>
    <cellStyle name="Vírgula 3" xfId="45" xr:uid="{4020DE37-3576-4113-9BE0-FF956346F9EA}"/>
  </cellStyles>
  <dxfs count="813">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rgb="FFFF0000"/>
        </patternFill>
      </fill>
    </dxf>
    <dxf>
      <fill>
        <patternFill>
          <bgColor rgb="FFFF0000"/>
        </patternFill>
      </fill>
    </dxf>
    <dxf>
      <font>
        <color rgb="FF0000CC"/>
      </font>
      <fill>
        <patternFill>
          <bgColor theme="0" tint="-0.14996795556505021"/>
        </patternFill>
      </fill>
    </dxf>
    <dxf>
      <font>
        <color rgb="FF0000CC"/>
      </font>
      <fill>
        <patternFill>
          <bgColor theme="0" tint="-0.14996795556505021"/>
        </patternFill>
      </fill>
    </dxf>
    <dxf>
      <font>
        <color rgb="FF0000CC"/>
      </font>
      <fill>
        <patternFill>
          <bgColor theme="0" tint="-0.14996795556505021"/>
        </patternFill>
      </fill>
    </dxf>
    <dxf>
      <fill>
        <patternFill>
          <bgColor theme="0" tint="-0.14996795556505021"/>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bgColor theme="0" tint="-0.14996795556505021"/>
        </patternFill>
      </fill>
    </dxf>
    <dxf>
      <fill>
        <patternFill>
          <bgColor rgb="FFFF0000"/>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FFCCCC"/>
        </patternFill>
      </fill>
    </dxf>
    <dxf>
      <fill>
        <patternFill>
          <bgColor rgb="FFDDEBF7"/>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theme="0" tint="-0.14996795556505021"/>
        </patternFill>
      </fill>
    </dxf>
    <dxf>
      <fill>
        <patternFill>
          <bgColor rgb="FFDDEBF7"/>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rgb="FFFF9999"/>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8" tint="0.79998168889431442"/>
        </patternFill>
      </fill>
    </dxf>
    <dxf>
      <fill>
        <patternFill>
          <bgColor rgb="FFFF9999"/>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FF9999"/>
        </patternFill>
      </fill>
    </dxf>
    <dxf>
      <fill>
        <patternFill>
          <bgColor theme="0" tint="-0.14996795556505021"/>
        </patternFill>
      </fill>
    </dxf>
    <dxf>
      <fill>
        <patternFill>
          <bgColor rgb="FFFF9999"/>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0000"/>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FFCCCC"/>
        </patternFill>
      </fill>
    </dxf>
    <dxf>
      <fill>
        <patternFill>
          <bgColor theme="0" tint="-0.14996795556505021"/>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rgb="FFDDEBF7"/>
        </patternFill>
      </fill>
    </dxf>
    <dxf>
      <fill>
        <patternFill>
          <bgColor rgb="FFFFCCCC"/>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rgb="FFFF9999"/>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rgb="FFFFCCCC"/>
        </patternFill>
      </fill>
    </dxf>
    <dxf>
      <fill>
        <patternFill>
          <bgColor theme="0" tint="-0.14996795556505021"/>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rgb="FFFFCCCC"/>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FFCCCC"/>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FFCCCC"/>
        </patternFill>
      </fill>
    </dxf>
    <dxf>
      <fill>
        <patternFill>
          <bgColor rgb="FFDDEBF7"/>
        </patternFill>
      </fill>
    </dxf>
    <dxf>
      <fill>
        <patternFill>
          <bgColor rgb="FFFF9999"/>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rgb="FFFF9999"/>
        </patternFill>
      </fill>
    </dxf>
    <dxf>
      <fill>
        <patternFill>
          <bgColor theme="8" tint="0.79998168889431442"/>
        </patternFill>
      </fill>
    </dxf>
    <dxf>
      <fill>
        <patternFill>
          <bgColor rgb="FFFF0000"/>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0000"/>
        </patternFill>
      </fill>
    </dxf>
    <dxf>
      <fill>
        <patternFill>
          <bgColor rgb="FFFF9999"/>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0000"/>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rgb="FFFF0000"/>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FFCCCC"/>
        </patternFill>
      </fill>
    </dxf>
    <dxf>
      <fill>
        <patternFill>
          <bgColor rgb="FFDDEBF7"/>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theme="0" tint="-0.14996795556505021"/>
        </patternFill>
      </fill>
    </dxf>
    <dxf>
      <fill>
        <patternFill>
          <bgColor rgb="FFFFCCCC"/>
        </patternFill>
      </fill>
    </dxf>
    <dxf>
      <font>
        <color rgb="FF0000FF"/>
      </font>
      <fill>
        <patternFill>
          <bgColor rgb="FFFFCCCC"/>
        </patternFill>
      </fill>
    </dxf>
    <dxf>
      <fill>
        <patternFill>
          <bgColor rgb="FFDDEBF7"/>
        </patternFill>
      </fill>
    </dxf>
    <dxf>
      <fill>
        <patternFill>
          <bgColor theme="0" tint="-0.14996795556505021"/>
        </patternFill>
      </fill>
    </dxf>
    <dxf>
      <fill>
        <patternFill>
          <bgColor rgb="FFFFCCCC"/>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0000"/>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DDEBF7"/>
        </patternFill>
      </fill>
    </dxf>
    <dxf>
      <font>
        <color auto="1"/>
      </font>
      <fill>
        <patternFill>
          <bgColor rgb="FFCCECFF"/>
        </patternFill>
      </fill>
    </dxf>
    <dxf>
      <fill>
        <patternFill>
          <bgColor rgb="FFDDEBF7"/>
        </patternFill>
      </fill>
    </dxf>
    <dxf>
      <fill>
        <patternFill>
          <bgColor rgb="FFFFCCCC"/>
        </patternFill>
      </fill>
    </dxf>
    <dxf>
      <fill>
        <patternFill>
          <bgColor theme="0" tint="-0.14996795556505021"/>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theme="0" tint="-0.14996795556505021"/>
        </patternFill>
      </fill>
    </dxf>
    <dxf>
      <fill>
        <patternFill>
          <bgColor rgb="FFDDEBF7"/>
        </patternFill>
      </fill>
    </dxf>
    <dxf>
      <fill>
        <patternFill>
          <bgColor rgb="FFFFCCCC"/>
        </patternFill>
      </fill>
    </dxf>
    <dxf>
      <fill>
        <patternFill>
          <bgColor rgb="FFFFCCCC"/>
        </patternFill>
      </fill>
    </dxf>
    <dxf>
      <fill>
        <patternFill>
          <bgColor rgb="FFDDEBF7"/>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rgb="FFFF9999"/>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theme="8" tint="0.79998168889431442"/>
        </patternFill>
      </fill>
    </dxf>
    <dxf>
      <fill>
        <patternFill>
          <bgColor theme="0" tint="-0.14996795556505021"/>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DDEBF7"/>
      <color rgb="FFFF9999"/>
      <color rgb="FFFF7C80"/>
      <color rgb="FFFF3300"/>
      <color rgb="FFCCECFF"/>
      <color rgb="FFFFFFCC"/>
      <color rgb="FFFFFF99"/>
      <color rgb="FFFFCCCC"/>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761999</xdr:colOff>
      <xdr:row>21</xdr:row>
      <xdr:rowOff>165394</xdr:rowOff>
    </xdr:from>
    <xdr:to>
      <xdr:col>10</xdr:col>
      <xdr:colOff>588175</xdr:colOff>
      <xdr:row>22</xdr:row>
      <xdr:rowOff>155759</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654" y="4948705"/>
          <a:ext cx="585297" cy="176060"/>
        </a:xfrm>
        <a:prstGeom prst="rect">
          <a:avLst/>
        </a:prstGeom>
      </xdr:spPr>
    </xdr:pic>
    <xdr:clientData/>
  </xdr:twoCellAnchor>
  <xdr:twoCellAnchor editAs="oneCell">
    <xdr:from>
      <xdr:col>8</xdr:col>
      <xdr:colOff>742951</xdr:colOff>
      <xdr:row>1</xdr:row>
      <xdr:rowOff>42174</xdr:rowOff>
    </xdr:from>
    <xdr:to>
      <xdr:col>9</xdr:col>
      <xdr:colOff>495300</xdr:colOff>
      <xdr:row>3</xdr:row>
      <xdr:rowOff>38283</xdr:rowOff>
    </xdr:to>
    <xdr:pic>
      <xdr:nvPicPr>
        <xdr:cNvPr id="5" name="Imagem 4">
          <a:extLst>
            <a:ext uri="{FF2B5EF4-FFF2-40B4-BE49-F238E27FC236}">
              <a16:creationId xmlns:a16="http://schemas.microsoft.com/office/drawing/2014/main" id="{064B75F0-8F6E-7BFE-FE0F-C0DE12099C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1351" y="239024"/>
          <a:ext cx="552449" cy="548559"/>
        </a:xfrm>
        <a:prstGeom prst="rect">
          <a:avLst/>
        </a:prstGeom>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U168"/>
  <sheetViews>
    <sheetView zoomScaleNormal="100" workbookViewId="0">
      <selection activeCell="A8" sqref="A8:I8"/>
    </sheetView>
  </sheetViews>
  <sheetFormatPr defaultRowHeight="15" x14ac:dyDescent="0.25"/>
  <cols>
    <col min="1" max="1" width="9.85546875" customWidth="1"/>
    <col min="2" max="2" width="5.28515625" customWidth="1"/>
    <col min="4" max="4" width="8.140625" customWidth="1"/>
    <col min="5" max="6" width="7.85546875" customWidth="1"/>
    <col min="7" max="7" width="6.85546875" customWidth="1"/>
    <col min="8" max="8" width="8.140625" customWidth="1"/>
    <col min="9" max="9" width="11.42578125" style="42" customWidth="1"/>
    <col min="10" max="10" width="9" customWidth="1"/>
    <col min="11" max="11" width="12.7109375" customWidth="1"/>
    <col min="12" max="21" width="9.140625" style="52"/>
  </cols>
  <sheetData>
    <row r="1" spans="1:12" ht="18.75" x14ac:dyDescent="0.3">
      <c r="A1" s="84" t="s">
        <v>0</v>
      </c>
      <c r="B1" s="3"/>
      <c r="C1" s="429" t="s">
        <v>1</v>
      </c>
      <c r="D1" s="3"/>
      <c r="E1" s="3"/>
      <c r="F1" s="3"/>
      <c r="G1" s="3"/>
      <c r="H1" s="3"/>
      <c r="I1" s="41"/>
      <c r="J1" s="3"/>
      <c r="K1" s="3"/>
      <c r="L1" s="598"/>
    </row>
    <row r="2" spans="1:12" ht="29.1" customHeight="1" x14ac:dyDescent="0.25">
      <c r="A2" s="700" t="s">
        <v>1243</v>
      </c>
      <c r="B2" s="3"/>
      <c r="C2" s="3"/>
      <c r="D2" s="3"/>
      <c r="E2" s="3"/>
      <c r="F2" s="3"/>
      <c r="G2" s="3"/>
      <c r="H2" s="3"/>
      <c r="I2" s="41"/>
      <c r="J2" s="3"/>
      <c r="K2" s="448" t="s">
        <v>2</v>
      </c>
      <c r="L2" s="598"/>
    </row>
    <row r="3" spans="1:12" x14ac:dyDescent="0.25">
      <c r="A3" s="3"/>
      <c r="B3" s="713" t="s">
        <v>3</v>
      </c>
      <c r="C3" s="713"/>
      <c r="D3" s="3"/>
      <c r="E3" s="714" t="s">
        <v>4</v>
      </c>
      <c r="F3" s="714"/>
      <c r="G3" s="714"/>
      <c r="H3" s="3"/>
      <c r="I3" s="41"/>
      <c r="J3" s="3"/>
      <c r="K3" s="447"/>
      <c r="L3" s="598"/>
    </row>
    <row r="4" spans="1:12" x14ac:dyDescent="0.25">
      <c r="A4" s="3"/>
      <c r="B4" s="3"/>
      <c r="C4" s="3"/>
      <c r="D4" s="3"/>
      <c r="E4" s="3"/>
      <c r="F4" s="3"/>
      <c r="G4" s="3"/>
      <c r="H4" s="3"/>
      <c r="I4" s="41"/>
      <c r="J4" s="3"/>
      <c r="K4" s="3"/>
      <c r="L4" s="598"/>
    </row>
    <row r="5" spans="1:12" x14ac:dyDescent="0.25">
      <c r="A5" s="4" t="s">
        <v>5</v>
      </c>
      <c r="B5" s="703"/>
      <c r="C5" s="704"/>
      <c r="D5" s="704"/>
      <c r="E5" s="704"/>
      <c r="F5" s="704"/>
      <c r="G5" s="704"/>
      <c r="H5" s="704"/>
      <c r="I5" s="705"/>
      <c r="J5" s="3"/>
      <c r="K5" s="3"/>
      <c r="L5" s="598"/>
    </row>
    <row r="6" spans="1:12" ht="24.95" customHeight="1" x14ac:dyDescent="0.25">
      <c r="A6" s="4" t="s">
        <v>6</v>
      </c>
      <c r="B6" s="51" t="s">
        <v>1241</v>
      </c>
      <c r="C6" s="709" t="s">
        <v>7</v>
      </c>
      <c r="D6" s="710"/>
      <c r="E6" s="711"/>
      <c r="F6" s="711"/>
      <c r="G6" s="711"/>
      <c r="H6" s="711"/>
      <c r="I6" s="712"/>
      <c r="J6" s="3"/>
      <c r="K6" s="3"/>
      <c r="L6" s="598"/>
    </row>
    <row r="7" spans="1:12" ht="14.85" customHeight="1" x14ac:dyDescent="0.25">
      <c r="A7" s="4" t="s">
        <v>8</v>
      </c>
      <c r="B7" s="703"/>
      <c r="C7" s="704"/>
      <c r="D7" s="705"/>
      <c r="E7" s="206">
        <f>IF(ISNUMBER(VALUE(RIGHT(B7,2))), VALUE(RIGHT(B7,2)),0)</f>
        <v>0</v>
      </c>
      <c r="F7" s="640"/>
      <c r="G7" s="428" t="str">
        <f ca="1">IF($E$7&lt;&gt;ABS(YEAR(TODAY())-$K$3),"Não Licenciada. Uso livre como LV","")</f>
        <v>Não Licenciada. Uso livre como LV</v>
      </c>
      <c r="H7" s="204"/>
      <c r="I7" s="205"/>
      <c r="J7" s="3"/>
      <c r="K7" s="3"/>
      <c r="L7" s="598"/>
    </row>
    <row r="8" spans="1:12" ht="246" customHeight="1" x14ac:dyDescent="0.25">
      <c r="A8" s="706" t="s">
        <v>1242</v>
      </c>
      <c r="B8" s="707"/>
      <c r="C8" s="707"/>
      <c r="D8" s="707"/>
      <c r="E8" s="707"/>
      <c r="F8" s="707"/>
      <c r="G8" s="707"/>
      <c r="H8" s="707"/>
      <c r="I8" s="708"/>
      <c r="J8" s="3"/>
      <c r="K8" s="140" t="s">
        <v>9</v>
      </c>
      <c r="L8" s="598"/>
    </row>
    <row r="9" spans="1:12" x14ac:dyDescent="0.25">
      <c r="A9" s="3"/>
      <c r="B9" s="3"/>
      <c r="C9" s="3"/>
      <c r="D9" s="3"/>
      <c r="E9" s="3"/>
      <c r="F9" s="3"/>
      <c r="G9" s="3"/>
      <c r="H9" s="3"/>
      <c r="I9" s="41"/>
      <c r="J9" s="3"/>
      <c r="K9" s="3"/>
      <c r="L9" s="598"/>
    </row>
    <row r="10" spans="1:12" x14ac:dyDescent="0.25">
      <c r="A10" s="4" t="s">
        <v>10</v>
      </c>
      <c r="B10" s="3"/>
      <c r="C10" s="3"/>
      <c r="D10" s="3"/>
      <c r="E10" s="3"/>
      <c r="F10" s="3"/>
      <c r="G10" s="3"/>
      <c r="H10" s="3"/>
      <c r="I10" s="41"/>
      <c r="J10" s="3"/>
      <c r="K10" s="3"/>
      <c r="L10" s="598"/>
    </row>
    <row r="11" spans="1:12" x14ac:dyDescent="0.25">
      <c r="A11" s="3"/>
      <c r="B11" s="3"/>
      <c r="C11" s="3"/>
      <c r="D11" s="3"/>
      <c r="E11" s="3"/>
      <c r="F11" s="3"/>
      <c r="G11" s="3"/>
      <c r="H11" s="3"/>
      <c r="I11" s="41"/>
      <c r="J11" s="3"/>
      <c r="K11" s="3"/>
      <c r="L11" s="598"/>
    </row>
    <row r="12" spans="1:12" ht="27.75" customHeight="1" x14ac:dyDescent="0.25">
      <c r="A12" s="44" t="s">
        <v>11</v>
      </c>
      <c r="B12" s="45"/>
      <c r="C12" s="641" t="s">
        <v>12</v>
      </c>
      <c r="D12" s="641" t="s">
        <v>13</v>
      </c>
      <c r="E12" s="641" t="s">
        <v>14</v>
      </c>
      <c r="F12" s="641" t="s">
        <v>15</v>
      </c>
      <c r="G12" s="641" t="s">
        <v>16</v>
      </c>
      <c r="H12" s="641" t="s">
        <v>17</v>
      </c>
      <c r="I12" s="641" t="s">
        <v>18</v>
      </c>
      <c r="J12" s="3"/>
      <c r="K12" s="3"/>
      <c r="L12" s="598"/>
    </row>
    <row r="13" spans="1:12" x14ac:dyDescent="0.25">
      <c r="A13" s="46">
        <v>1</v>
      </c>
      <c r="B13" s="21"/>
      <c r="C13" s="47">
        <f>COUNTIFS('1'!B6:'1'!B129,"=1",'1'!$D6:'1'!$D129,"=PG")</f>
        <v>4</v>
      </c>
      <c r="D13" s="48">
        <f>COUNTIFS('1'!B4:'1'!B129,"&gt;0",'1'!D4:'1'!D129,"=PG",'1'!F4:'1'!F129,"*")</f>
        <v>0</v>
      </c>
      <c r="E13" s="48">
        <f>COUNTIFS('1'!B4:'1'!B129,"&gt;0",'1'!D4:'1'!D129,"=PG",'1'!F4:'1'!F129,"=S")</f>
        <v>0</v>
      </c>
      <c r="F13" s="48">
        <f>COUNTIFS('1'!B4:'1'!B129,"&gt;0",'1'!D4:'1'!D129,"=PG",'1'!F4:'1'!F129,"=P")</f>
        <v>0</v>
      </c>
      <c r="G13" s="47">
        <f>COUNTIFS('1'!B6:'1'!B129,"=1",'1'!$D6:'1'!$D129,"&gt;0")</f>
        <v>14</v>
      </c>
      <c r="H13" s="49">
        <f>'1'!$F$4</f>
        <v>0</v>
      </c>
      <c r="I13" s="49">
        <f>'1'!I$4</f>
        <v>0</v>
      </c>
      <c r="J13" s="3"/>
      <c r="K13" s="3"/>
      <c r="L13" s="598"/>
    </row>
    <row r="14" spans="1:12" x14ac:dyDescent="0.25">
      <c r="A14" s="46">
        <v>2</v>
      </c>
      <c r="B14" s="21"/>
      <c r="C14" s="47">
        <f>COUNTIFS('2'!B6:'2'!B163,"=1",'2'!$D6:'2'!$D163,"=PG")</f>
        <v>7</v>
      </c>
      <c r="D14" s="48">
        <f>COUNTIFS('2'!B4:'2'!B163,"&gt;0",'2'!D4:'2'!D163,"=PG",'2'!F4:'2'!F163,"*")</f>
        <v>0</v>
      </c>
      <c r="E14" s="48">
        <f>COUNTIFS('2'!B4:'2'!B163,"&gt;0",'2'!D4:'2'!D163,"=PG",'2'!F4:'2'!F163,"=S")</f>
        <v>0</v>
      </c>
      <c r="F14" s="48">
        <f>COUNTIFS('2'!B4:'2'!B163,"&gt;0",'2'!D4:'2'!D163,"=PG",'2'!F4:'2'!F163,"=P")</f>
        <v>0</v>
      </c>
      <c r="G14" s="47">
        <f>COUNTIFS('2'!B6:'2'!B163,"=1",'2'!$D6:'2'!$D163,"&gt;0")</f>
        <v>24</v>
      </c>
      <c r="H14" s="49">
        <f>'2'!$F$4</f>
        <v>0</v>
      </c>
      <c r="I14" s="49">
        <f>'2'!I$4</f>
        <v>0</v>
      </c>
      <c r="J14" s="3"/>
      <c r="K14" s="3"/>
      <c r="L14" s="598"/>
    </row>
    <row r="15" spans="1:12" x14ac:dyDescent="0.25">
      <c r="A15" s="46">
        <v>3</v>
      </c>
      <c r="B15" s="21"/>
      <c r="C15" s="47">
        <f>COUNTIFS('3'!B6:'3'!B135,"=1",'3'!$D6:'3'!$D135,"=PG")</f>
        <v>8</v>
      </c>
      <c r="D15" s="48">
        <f>COUNTIFS('3'!B4:'3'!B135,"&gt;0",'3'!D4:'3'!D135,"=PG",'3'!F4:'3'!F135,"*")</f>
        <v>0</v>
      </c>
      <c r="E15" s="48">
        <f>COUNTIFS('3'!B4:'3'!B135,"&gt;0",'3'!D4:'3'!D135,"=PG",'3'!F4:'3'!F135,"=S")</f>
        <v>0</v>
      </c>
      <c r="F15" s="48">
        <f>COUNTIFS('3'!B4:'3'!B135,"&gt;0",'3'!D4:'3'!D135,"=PG",'3'!F4:'3'!F135,"=P")</f>
        <v>0</v>
      </c>
      <c r="G15" s="47">
        <f>COUNTIFS('3'!B6:'3'!B135,"=1",'3'!$D6:'3'!$D135,"&gt;0")</f>
        <v>7</v>
      </c>
      <c r="H15" s="49">
        <f>'3'!$F$4</f>
        <v>0</v>
      </c>
      <c r="I15" s="49">
        <f>'3'!I$4</f>
        <v>0</v>
      </c>
      <c r="J15" s="3"/>
      <c r="K15" s="3"/>
      <c r="L15" s="598"/>
    </row>
    <row r="16" spans="1:12" x14ac:dyDescent="0.25">
      <c r="A16" s="46">
        <v>4</v>
      </c>
      <c r="B16" s="21"/>
      <c r="C16" s="47">
        <f>COUNTIFS('4'!B6:'4'!B76,"=1",'4'!$D6:'4'!$D76,"=PG")</f>
        <v>4</v>
      </c>
      <c r="D16" s="48">
        <f>COUNTIFS('4'!B4:'4'!B76,"&gt;0",'4'!D4:'4'!D76,"=PG",'4'!F4:'4'!F76,"*")</f>
        <v>0</v>
      </c>
      <c r="E16" s="48">
        <f>COUNTIFS('4'!B4:'4'!B76,"&gt;0",'4'!D4:'4'!D76,"=PG",'4'!F4:'4'!F76,"=S")</f>
        <v>0</v>
      </c>
      <c r="F16" s="48">
        <f>COUNTIFS('4'!B4:'4'!B76,"&gt;0",'4'!D4:'4'!D76,"=PG",'4'!F4:'4'!F76,"=P")</f>
        <v>0</v>
      </c>
      <c r="G16" s="47">
        <f>COUNTIFS('4'!B6:'4'!B76,"=1",'4'!$D6:'4'!$D76,"&gt;0")</f>
        <v>10</v>
      </c>
      <c r="H16" s="49">
        <f>'4'!$F$4</f>
        <v>0</v>
      </c>
      <c r="I16" s="49">
        <f>'4'!I$4</f>
        <v>0</v>
      </c>
      <c r="J16" s="3"/>
      <c r="K16" s="3"/>
      <c r="L16" s="598"/>
    </row>
    <row r="17" spans="1:12" x14ac:dyDescent="0.25">
      <c r="A17" s="46">
        <v>5</v>
      </c>
      <c r="B17" s="21"/>
      <c r="C17" s="47">
        <f>COUNTIFS('5'!B6:'5'!B119,"=1",'5'!$D6:'5'!$D119,"=PG")</f>
        <v>5</v>
      </c>
      <c r="D17" s="48">
        <f>COUNTIFS('5'!B4:'5'!B119,"&gt;0",'5'!D4:'5'!D119,"=PG",'5'!F4:'5'!F119,"*")</f>
        <v>0</v>
      </c>
      <c r="E17" s="48">
        <f>COUNTIFS('5'!B4:'5'!B119,"&gt;0",'5'!D4:'5'!D119,"=PG",'5'!F4:'5'!F119,"=S")</f>
        <v>0</v>
      </c>
      <c r="F17" s="48">
        <f>COUNTIFS('5'!B4:'5'!B119,"&gt;0",'5'!D4:'5'!D119,"=PG",'5'!F4:'5'!F119,"=P")</f>
        <v>0</v>
      </c>
      <c r="G17" s="47">
        <f>COUNTIFS('5'!B6:'5'!B119,"=1",'5'!$D6:'5'!$D119,"&gt;0")</f>
        <v>14</v>
      </c>
      <c r="H17" s="49">
        <f>'5'!$F$4</f>
        <v>0</v>
      </c>
      <c r="I17" s="49">
        <f>'5'!I$4</f>
        <v>0</v>
      </c>
      <c r="J17" s="3"/>
      <c r="K17" s="3"/>
      <c r="L17" s="598"/>
    </row>
    <row r="18" spans="1:12" x14ac:dyDescent="0.25">
      <c r="A18" s="46">
        <v>6</v>
      </c>
      <c r="B18" s="21"/>
      <c r="C18" s="47">
        <f>COUNTIFS('6'!B6:'6'!B153,"=1",'6'!$D6:'6'!$D153,"=PG")</f>
        <v>8</v>
      </c>
      <c r="D18" s="48">
        <f>COUNTIFS('6'!B4:'6'!B153,"&gt;0",'6'!D4:'6'!D153,"=PG",'6'!F4:'6'!F153,"*")</f>
        <v>0</v>
      </c>
      <c r="E18" s="48">
        <f>COUNTIFS('6'!B4:'6'!B153,"&gt;0",'6'!D4:'6'!D153,"=PG",'6'!F4:'6'!F153,"=S")</f>
        <v>0</v>
      </c>
      <c r="F18" s="48">
        <f>COUNTIFS('6'!B4:'6'!B153,"&gt;0",'6'!D4:'6'!D153,"=PG",'6'!F4:'6'!F153,"=P")</f>
        <v>0</v>
      </c>
      <c r="G18" s="47">
        <f>COUNTIFS('6'!B6:'6'!B153,"=1",'6'!$D6:'6'!$D153,"&gt;0")</f>
        <v>18</v>
      </c>
      <c r="H18" s="49">
        <f>'6'!$F$4</f>
        <v>0</v>
      </c>
      <c r="I18" s="49">
        <f>'6'!I$4</f>
        <v>0</v>
      </c>
      <c r="J18" s="3"/>
      <c r="K18" s="3"/>
      <c r="L18" s="598"/>
    </row>
    <row r="19" spans="1:12" x14ac:dyDescent="0.25">
      <c r="A19" s="46">
        <v>7</v>
      </c>
      <c r="B19" s="21"/>
      <c r="C19" s="47">
        <f>COUNTIFS('7'!B6:'7'!B214,"=1",'7'!$D6:'7'!$D214,"=PG")</f>
        <v>10</v>
      </c>
      <c r="D19" s="48">
        <f>COUNTIFS('7'!B4:'7'!B214,"&gt;0",'7'!D4:'7'!D214,"=PG",'7'!F4:'7'!F214,"*")</f>
        <v>0</v>
      </c>
      <c r="E19" s="48">
        <f>COUNTIFS('7'!B4:'7'!B214,"&gt;0",'7'!D4:'7'!D214,"=PG",'7'!F4:'7'!F214,"=S")</f>
        <v>0</v>
      </c>
      <c r="F19" s="48">
        <f>COUNTIFS('7'!B4:'7'!B214,"&gt;0",'7'!D4:'7'!D214,"=PG",'7'!F4:'7'!F214,"=P")</f>
        <v>0</v>
      </c>
      <c r="G19" s="47">
        <f>COUNTIFS('7'!B6:'7'!B214,"=1",'7'!$D6:'7'!$D214,"&gt;0")</f>
        <v>22</v>
      </c>
      <c r="H19" s="49">
        <f>'7'!$F$4</f>
        <v>0</v>
      </c>
      <c r="I19" s="49">
        <f>'7'!I$4</f>
        <v>0</v>
      </c>
      <c r="J19" s="3"/>
      <c r="K19" s="3"/>
      <c r="L19" s="598"/>
    </row>
    <row r="20" spans="1:12" x14ac:dyDescent="0.25">
      <c r="A20" s="43" t="s">
        <v>19</v>
      </c>
      <c r="B20" s="21"/>
      <c r="C20" s="43">
        <f>SUM(C13:C19)</f>
        <v>46</v>
      </c>
      <c r="D20" s="43">
        <f>SUM(D13:D19)</f>
        <v>0</v>
      </c>
      <c r="E20" s="43">
        <f>SUM(E13:E19)</f>
        <v>0</v>
      </c>
      <c r="F20" s="43"/>
      <c r="G20" s="43">
        <f>SUM(G13:G19)</f>
        <v>109</v>
      </c>
      <c r="H20" s="691">
        <f>AVERAGE(H13:H19)</f>
        <v>0</v>
      </c>
      <c r="I20" s="691">
        <f>AVERAGE(I13:I19)</f>
        <v>0</v>
      </c>
      <c r="J20" s="3"/>
      <c r="K20" s="3"/>
      <c r="L20" s="598"/>
    </row>
    <row r="21" spans="1:12" x14ac:dyDescent="0.25">
      <c r="A21" s="3"/>
      <c r="B21" s="3"/>
      <c r="C21" s="3"/>
      <c r="D21" s="3"/>
      <c r="E21" s="3"/>
      <c r="F21" s="3"/>
      <c r="G21" s="3"/>
      <c r="H21" s="3"/>
      <c r="I21" s="3"/>
      <c r="J21" s="3"/>
      <c r="K21" s="3"/>
      <c r="L21" s="598"/>
    </row>
    <row r="22" spans="1:12" x14ac:dyDescent="0.25">
      <c r="A22" s="3"/>
      <c r="B22" s="3"/>
      <c r="C22" s="3"/>
      <c r="D22" s="3"/>
      <c r="E22" s="3"/>
      <c r="F22" s="3"/>
      <c r="G22" s="3"/>
      <c r="H22" s="3"/>
      <c r="I22" s="41"/>
      <c r="J22" s="3"/>
      <c r="K22" s="3"/>
      <c r="L22" s="598"/>
    </row>
    <row r="23" spans="1:12" x14ac:dyDescent="0.25">
      <c r="A23" s="424" t="s">
        <v>20</v>
      </c>
      <c r="B23" s="3"/>
      <c r="C23" s="3"/>
      <c r="D23" s="3"/>
      <c r="E23" s="3"/>
      <c r="F23" s="3"/>
      <c r="G23" s="3"/>
      <c r="H23" s="424">
        <v>187</v>
      </c>
      <c r="I23" s="41"/>
      <c r="J23" s="50" t="s">
        <v>21</v>
      </c>
      <c r="K23" s="3"/>
      <c r="L23" s="598"/>
    </row>
    <row r="24" spans="1:12" s="52" customFormat="1" x14ac:dyDescent="0.25">
      <c r="I24" s="53"/>
    </row>
    <row r="25" spans="1:12" s="52" customFormat="1" x14ac:dyDescent="0.25">
      <c r="I25" s="53"/>
    </row>
    <row r="26" spans="1:12" s="52" customFormat="1" x14ac:dyDescent="0.25"/>
    <row r="27" spans="1:12" s="52" customFormat="1" x14ac:dyDescent="0.25">
      <c r="I27" s="53"/>
    </row>
    <row r="28" spans="1:12" s="52" customFormat="1" x14ac:dyDescent="0.25">
      <c r="I28" s="53"/>
    </row>
    <row r="29" spans="1:12" s="52" customFormat="1" x14ac:dyDescent="0.25">
      <c r="I29" s="53"/>
    </row>
    <row r="30" spans="1:12" s="52" customFormat="1" x14ac:dyDescent="0.25">
      <c r="I30" s="53"/>
    </row>
    <row r="31" spans="1:12" s="52" customFormat="1" x14ac:dyDescent="0.25">
      <c r="I31" s="53"/>
    </row>
    <row r="32" spans="1:12" s="52" customFormat="1" x14ac:dyDescent="0.25">
      <c r="I32" s="53"/>
    </row>
    <row r="33" spans="9:9" s="52" customFormat="1" x14ac:dyDescent="0.25">
      <c r="I33" s="53"/>
    </row>
    <row r="34" spans="9:9" s="52" customFormat="1" x14ac:dyDescent="0.25">
      <c r="I34" s="53"/>
    </row>
    <row r="35" spans="9:9" s="52" customFormat="1" x14ac:dyDescent="0.25">
      <c r="I35" s="53"/>
    </row>
    <row r="36" spans="9:9" s="52" customFormat="1" x14ac:dyDescent="0.25">
      <c r="I36" s="53"/>
    </row>
    <row r="37" spans="9:9" s="52" customFormat="1" x14ac:dyDescent="0.25">
      <c r="I37" s="53"/>
    </row>
    <row r="38" spans="9:9" s="52" customFormat="1" x14ac:dyDescent="0.25">
      <c r="I38" s="53"/>
    </row>
    <row r="39" spans="9:9" s="52" customFormat="1" x14ac:dyDescent="0.25">
      <c r="I39" s="53"/>
    </row>
    <row r="40" spans="9:9" s="52" customFormat="1" x14ac:dyDescent="0.25">
      <c r="I40" s="53"/>
    </row>
    <row r="41" spans="9:9" s="52" customFormat="1" x14ac:dyDescent="0.25">
      <c r="I41" s="53"/>
    </row>
    <row r="42" spans="9:9" s="52" customFormat="1" x14ac:dyDescent="0.25">
      <c r="I42" s="53"/>
    </row>
    <row r="43" spans="9:9" s="52" customFormat="1" x14ac:dyDescent="0.25">
      <c r="I43" s="53"/>
    </row>
    <row r="44" spans="9:9" s="52" customFormat="1" x14ac:dyDescent="0.25">
      <c r="I44" s="53"/>
    </row>
    <row r="45" spans="9:9" s="52" customFormat="1" x14ac:dyDescent="0.25">
      <c r="I45" s="53"/>
    </row>
    <row r="46" spans="9:9" s="52" customFormat="1" x14ac:dyDescent="0.25">
      <c r="I46" s="53"/>
    </row>
    <row r="47" spans="9:9" s="52" customFormat="1" x14ac:dyDescent="0.25">
      <c r="I47" s="53"/>
    </row>
    <row r="48" spans="9:9" s="52" customFormat="1" x14ac:dyDescent="0.25">
      <c r="I48" s="53"/>
    </row>
    <row r="49" spans="9:9" s="52" customFormat="1" x14ac:dyDescent="0.25">
      <c r="I49" s="53"/>
    </row>
    <row r="50" spans="9:9" s="52" customFormat="1" x14ac:dyDescent="0.25">
      <c r="I50" s="53"/>
    </row>
    <row r="51" spans="9:9" s="52" customFormat="1" x14ac:dyDescent="0.25">
      <c r="I51" s="53"/>
    </row>
    <row r="52" spans="9:9" s="52" customFormat="1" x14ac:dyDescent="0.25">
      <c r="I52" s="53"/>
    </row>
    <row r="53" spans="9:9" s="52" customFormat="1" x14ac:dyDescent="0.25">
      <c r="I53" s="53"/>
    </row>
    <row r="54" spans="9:9" s="52" customFormat="1" x14ac:dyDescent="0.25">
      <c r="I54" s="53"/>
    </row>
    <row r="55" spans="9:9" s="52" customFormat="1" x14ac:dyDescent="0.25">
      <c r="I55" s="53"/>
    </row>
    <row r="56" spans="9:9" s="52" customFormat="1" x14ac:dyDescent="0.25">
      <c r="I56" s="53"/>
    </row>
    <row r="57" spans="9:9" s="52" customFormat="1" x14ac:dyDescent="0.25">
      <c r="I57" s="53"/>
    </row>
    <row r="58" spans="9:9" s="52" customFormat="1" x14ac:dyDescent="0.25">
      <c r="I58" s="53"/>
    </row>
    <row r="59" spans="9:9" s="52" customFormat="1" x14ac:dyDescent="0.25">
      <c r="I59" s="53"/>
    </row>
    <row r="60" spans="9:9" s="52" customFormat="1" x14ac:dyDescent="0.25">
      <c r="I60" s="53"/>
    </row>
    <row r="61" spans="9:9" s="52" customFormat="1" x14ac:dyDescent="0.25">
      <c r="I61" s="53"/>
    </row>
    <row r="62" spans="9:9" s="52" customFormat="1" x14ac:dyDescent="0.25">
      <c r="I62" s="53"/>
    </row>
    <row r="63" spans="9:9" s="52" customFormat="1" x14ac:dyDescent="0.25">
      <c r="I63" s="53"/>
    </row>
    <row r="64" spans="9:9" s="52" customFormat="1" x14ac:dyDescent="0.25">
      <c r="I64" s="53"/>
    </row>
    <row r="65" spans="9:9" s="52" customFormat="1" x14ac:dyDescent="0.25">
      <c r="I65" s="53"/>
    </row>
    <row r="66" spans="9:9" s="52" customFormat="1" x14ac:dyDescent="0.25">
      <c r="I66" s="53"/>
    </row>
    <row r="67" spans="9:9" s="52" customFormat="1" x14ac:dyDescent="0.25">
      <c r="I67" s="53"/>
    </row>
    <row r="68" spans="9:9" s="52" customFormat="1" x14ac:dyDescent="0.25">
      <c r="I68" s="53"/>
    </row>
    <row r="69" spans="9:9" s="52" customFormat="1" x14ac:dyDescent="0.25">
      <c r="I69" s="53"/>
    </row>
    <row r="70" spans="9:9" s="52" customFormat="1" x14ac:dyDescent="0.25">
      <c r="I70" s="53"/>
    </row>
    <row r="71" spans="9:9" s="52" customFormat="1" x14ac:dyDescent="0.25">
      <c r="I71" s="53"/>
    </row>
    <row r="72" spans="9:9" s="52" customFormat="1" x14ac:dyDescent="0.25">
      <c r="I72" s="53"/>
    </row>
    <row r="73" spans="9:9" s="52" customFormat="1" x14ac:dyDescent="0.25">
      <c r="I73" s="53"/>
    </row>
    <row r="74" spans="9:9" s="52" customFormat="1" x14ac:dyDescent="0.25">
      <c r="I74" s="53"/>
    </row>
    <row r="75" spans="9:9" s="52" customFormat="1" x14ac:dyDescent="0.25">
      <c r="I75" s="53"/>
    </row>
    <row r="76" spans="9:9" s="52" customFormat="1" x14ac:dyDescent="0.25">
      <c r="I76" s="53"/>
    </row>
    <row r="77" spans="9:9" s="52" customFormat="1" x14ac:dyDescent="0.25">
      <c r="I77" s="53"/>
    </row>
    <row r="78" spans="9:9" s="52" customFormat="1" x14ac:dyDescent="0.25">
      <c r="I78" s="53"/>
    </row>
    <row r="79" spans="9:9" s="52" customFormat="1" x14ac:dyDescent="0.25">
      <c r="I79" s="53"/>
    </row>
    <row r="80" spans="9:9" s="52" customFormat="1" x14ac:dyDescent="0.25">
      <c r="I80" s="53"/>
    </row>
    <row r="81" spans="9:9" s="52" customFormat="1" x14ac:dyDescent="0.25">
      <c r="I81" s="53"/>
    </row>
    <row r="82" spans="9:9" s="52" customFormat="1" x14ac:dyDescent="0.25">
      <c r="I82" s="53"/>
    </row>
    <row r="83" spans="9:9" s="52" customFormat="1" x14ac:dyDescent="0.25">
      <c r="I83" s="53"/>
    </row>
    <row r="84" spans="9:9" s="52" customFormat="1" x14ac:dyDescent="0.25">
      <c r="I84" s="53"/>
    </row>
    <row r="85" spans="9:9" s="52" customFormat="1" x14ac:dyDescent="0.25">
      <c r="I85" s="53"/>
    </row>
    <row r="86" spans="9:9" s="52" customFormat="1" x14ac:dyDescent="0.25">
      <c r="I86" s="53"/>
    </row>
    <row r="87" spans="9:9" s="52" customFormat="1" x14ac:dyDescent="0.25">
      <c r="I87" s="53"/>
    </row>
    <row r="88" spans="9:9" s="52" customFormat="1" x14ac:dyDescent="0.25">
      <c r="I88" s="53"/>
    </row>
    <row r="89" spans="9:9" s="52" customFormat="1" x14ac:dyDescent="0.25">
      <c r="I89" s="53"/>
    </row>
    <row r="90" spans="9:9" s="52" customFormat="1" x14ac:dyDescent="0.25">
      <c r="I90" s="53"/>
    </row>
    <row r="91" spans="9:9" s="52" customFormat="1" x14ac:dyDescent="0.25">
      <c r="I91" s="53"/>
    </row>
    <row r="92" spans="9:9" s="52" customFormat="1" x14ac:dyDescent="0.25">
      <c r="I92" s="53"/>
    </row>
    <row r="93" spans="9:9" s="52" customFormat="1" x14ac:dyDescent="0.25">
      <c r="I93" s="53"/>
    </row>
    <row r="94" spans="9:9" s="52" customFormat="1" x14ac:dyDescent="0.25">
      <c r="I94" s="53"/>
    </row>
    <row r="95" spans="9:9" s="52" customFormat="1" x14ac:dyDescent="0.25">
      <c r="I95" s="53"/>
    </row>
    <row r="96" spans="9:9" s="52" customFormat="1" x14ac:dyDescent="0.25">
      <c r="I96" s="53"/>
    </row>
    <row r="97" spans="9:9" s="52" customFormat="1" x14ac:dyDescent="0.25">
      <c r="I97" s="53"/>
    </row>
    <row r="98" spans="9:9" s="52" customFormat="1" x14ac:dyDescent="0.25">
      <c r="I98" s="53"/>
    </row>
    <row r="99" spans="9:9" s="52" customFormat="1" x14ac:dyDescent="0.25">
      <c r="I99" s="53"/>
    </row>
    <row r="100" spans="9:9" s="52" customFormat="1" x14ac:dyDescent="0.25">
      <c r="I100" s="53"/>
    </row>
    <row r="101" spans="9:9" s="52" customFormat="1" x14ac:dyDescent="0.25">
      <c r="I101" s="53"/>
    </row>
    <row r="102" spans="9:9" s="52" customFormat="1" x14ac:dyDescent="0.25">
      <c r="I102" s="53"/>
    </row>
    <row r="103" spans="9:9" s="52" customFormat="1" x14ac:dyDescent="0.25">
      <c r="I103" s="53"/>
    </row>
    <row r="104" spans="9:9" s="52" customFormat="1" x14ac:dyDescent="0.25">
      <c r="I104" s="53"/>
    </row>
    <row r="105" spans="9:9" s="52" customFormat="1" x14ac:dyDescent="0.25">
      <c r="I105" s="53"/>
    </row>
    <row r="106" spans="9:9" s="52" customFormat="1" x14ac:dyDescent="0.25">
      <c r="I106" s="53"/>
    </row>
    <row r="107" spans="9:9" s="52" customFormat="1" x14ac:dyDescent="0.25">
      <c r="I107" s="53"/>
    </row>
    <row r="108" spans="9:9" s="52" customFormat="1" x14ac:dyDescent="0.25">
      <c r="I108" s="53"/>
    </row>
    <row r="109" spans="9:9" s="52" customFormat="1" x14ac:dyDescent="0.25">
      <c r="I109" s="53"/>
    </row>
    <row r="110" spans="9:9" s="52" customFormat="1" x14ac:dyDescent="0.25">
      <c r="I110" s="53"/>
    </row>
    <row r="111" spans="9:9" s="52" customFormat="1" x14ac:dyDescent="0.25">
      <c r="I111" s="53"/>
    </row>
    <row r="112" spans="9:9" s="52" customFormat="1" x14ac:dyDescent="0.25">
      <c r="I112" s="53"/>
    </row>
    <row r="113" spans="9:9" s="52" customFormat="1" x14ac:dyDescent="0.25">
      <c r="I113" s="53"/>
    </row>
    <row r="114" spans="9:9" s="52" customFormat="1" x14ac:dyDescent="0.25">
      <c r="I114" s="53"/>
    </row>
    <row r="115" spans="9:9" s="52" customFormat="1" x14ac:dyDescent="0.25">
      <c r="I115" s="53"/>
    </row>
    <row r="116" spans="9:9" s="52" customFormat="1" x14ac:dyDescent="0.25">
      <c r="I116" s="53"/>
    </row>
    <row r="117" spans="9:9" s="52" customFormat="1" x14ac:dyDescent="0.25">
      <c r="I117" s="53"/>
    </row>
    <row r="118" spans="9:9" s="52" customFormat="1" x14ac:dyDescent="0.25">
      <c r="I118" s="53"/>
    </row>
    <row r="119" spans="9:9" s="52" customFormat="1" x14ac:dyDescent="0.25">
      <c r="I119" s="53"/>
    </row>
    <row r="120" spans="9:9" s="52" customFormat="1" x14ac:dyDescent="0.25">
      <c r="I120" s="53"/>
    </row>
    <row r="121" spans="9:9" s="52" customFormat="1" x14ac:dyDescent="0.25">
      <c r="I121" s="53"/>
    </row>
    <row r="122" spans="9:9" s="52" customFormat="1" x14ac:dyDescent="0.25">
      <c r="I122" s="53"/>
    </row>
    <row r="123" spans="9:9" s="52" customFormat="1" x14ac:dyDescent="0.25">
      <c r="I123" s="53"/>
    </row>
    <row r="124" spans="9:9" s="52" customFormat="1" x14ac:dyDescent="0.25">
      <c r="I124" s="53"/>
    </row>
    <row r="125" spans="9:9" s="52" customFormat="1" x14ac:dyDescent="0.25">
      <c r="I125" s="53"/>
    </row>
    <row r="126" spans="9:9" s="52" customFormat="1" x14ac:dyDescent="0.25">
      <c r="I126" s="53"/>
    </row>
    <row r="127" spans="9:9" s="52" customFormat="1" x14ac:dyDescent="0.25">
      <c r="I127" s="53"/>
    </row>
    <row r="128" spans="9:9" s="52" customFormat="1" x14ac:dyDescent="0.25">
      <c r="I128" s="53"/>
    </row>
    <row r="129" spans="9:9" s="52" customFormat="1" x14ac:dyDescent="0.25">
      <c r="I129" s="53"/>
    </row>
    <row r="130" spans="9:9" s="52" customFormat="1" x14ac:dyDescent="0.25">
      <c r="I130" s="53"/>
    </row>
    <row r="131" spans="9:9" s="52" customFormat="1" x14ac:dyDescent="0.25">
      <c r="I131" s="53"/>
    </row>
    <row r="132" spans="9:9" s="52" customFormat="1" x14ac:dyDescent="0.25">
      <c r="I132" s="53"/>
    </row>
    <row r="133" spans="9:9" s="52" customFormat="1" x14ac:dyDescent="0.25">
      <c r="I133" s="53"/>
    </row>
    <row r="134" spans="9:9" s="52" customFormat="1" x14ac:dyDescent="0.25">
      <c r="I134" s="53"/>
    </row>
    <row r="135" spans="9:9" s="52" customFormat="1" x14ac:dyDescent="0.25">
      <c r="I135" s="53"/>
    </row>
    <row r="136" spans="9:9" s="52" customFormat="1" x14ac:dyDescent="0.25">
      <c r="I136" s="53"/>
    </row>
    <row r="137" spans="9:9" s="52" customFormat="1" x14ac:dyDescent="0.25">
      <c r="I137" s="53"/>
    </row>
    <row r="138" spans="9:9" s="52" customFormat="1" x14ac:dyDescent="0.25">
      <c r="I138" s="53"/>
    </row>
    <row r="139" spans="9:9" s="52" customFormat="1" x14ac:dyDescent="0.25">
      <c r="I139" s="53"/>
    </row>
    <row r="140" spans="9:9" s="52" customFormat="1" x14ac:dyDescent="0.25">
      <c r="I140" s="53"/>
    </row>
    <row r="141" spans="9:9" s="52" customFormat="1" x14ac:dyDescent="0.25">
      <c r="I141" s="53"/>
    </row>
    <row r="142" spans="9:9" s="52" customFormat="1" x14ac:dyDescent="0.25">
      <c r="I142" s="53"/>
    </row>
    <row r="143" spans="9:9" s="52" customFormat="1" x14ac:dyDescent="0.25">
      <c r="I143" s="53"/>
    </row>
    <row r="144" spans="9:9" s="52" customFormat="1" x14ac:dyDescent="0.25">
      <c r="I144" s="53"/>
    </row>
    <row r="145" spans="9:9" s="52" customFormat="1" x14ac:dyDescent="0.25">
      <c r="I145" s="53"/>
    </row>
    <row r="146" spans="9:9" s="52" customFormat="1" x14ac:dyDescent="0.25">
      <c r="I146" s="53"/>
    </row>
    <row r="147" spans="9:9" s="52" customFormat="1" x14ac:dyDescent="0.25">
      <c r="I147" s="53"/>
    </row>
    <row r="148" spans="9:9" s="52" customFormat="1" x14ac:dyDescent="0.25">
      <c r="I148" s="53"/>
    </row>
    <row r="149" spans="9:9" s="52" customFormat="1" x14ac:dyDescent="0.25">
      <c r="I149" s="53"/>
    </row>
    <row r="150" spans="9:9" s="52" customFormat="1" x14ac:dyDescent="0.25">
      <c r="I150" s="53"/>
    </row>
    <row r="151" spans="9:9" s="52" customFormat="1" x14ac:dyDescent="0.25">
      <c r="I151" s="53"/>
    </row>
    <row r="152" spans="9:9" s="52" customFormat="1" x14ac:dyDescent="0.25">
      <c r="I152" s="53"/>
    </row>
    <row r="153" spans="9:9" s="52" customFormat="1" x14ac:dyDescent="0.25">
      <c r="I153" s="53"/>
    </row>
    <row r="154" spans="9:9" s="52" customFormat="1" x14ac:dyDescent="0.25">
      <c r="I154" s="53"/>
    </row>
    <row r="155" spans="9:9" s="52" customFormat="1" x14ac:dyDescent="0.25">
      <c r="I155" s="53"/>
    </row>
    <row r="156" spans="9:9" s="52" customFormat="1" x14ac:dyDescent="0.25">
      <c r="I156" s="53"/>
    </row>
    <row r="157" spans="9:9" s="52" customFormat="1" x14ac:dyDescent="0.25">
      <c r="I157" s="53"/>
    </row>
    <row r="158" spans="9:9" s="52" customFormat="1" x14ac:dyDescent="0.25">
      <c r="I158" s="53"/>
    </row>
    <row r="159" spans="9:9" s="52" customFormat="1" x14ac:dyDescent="0.25">
      <c r="I159" s="53"/>
    </row>
    <row r="160" spans="9:9" s="52" customFormat="1" x14ac:dyDescent="0.25">
      <c r="I160" s="53"/>
    </row>
    <row r="161" spans="9:9" s="52" customFormat="1" x14ac:dyDescent="0.25">
      <c r="I161" s="53"/>
    </row>
    <row r="162" spans="9:9" s="52" customFormat="1" x14ac:dyDescent="0.25">
      <c r="I162" s="53"/>
    </row>
    <row r="163" spans="9:9" s="52" customFormat="1" x14ac:dyDescent="0.25">
      <c r="I163" s="53"/>
    </row>
    <row r="164" spans="9:9" s="52" customFormat="1" x14ac:dyDescent="0.25">
      <c r="I164" s="53"/>
    </row>
    <row r="165" spans="9:9" s="52" customFormat="1" x14ac:dyDescent="0.25">
      <c r="I165" s="53"/>
    </row>
    <row r="166" spans="9:9" s="52" customFormat="1" x14ac:dyDescent="0.25">
      <c r="I166" s="53"/>
    </row>
    <row r="167" spans="9:9" s="52" customFormat="1" x14ac:dyDescent="0.25">
      <c r="I167" s="53"/>
    </row>
    <row r="168" spans="9:9" s="52" customFormat="1" x14ac:dyDescent="0.25">
      <c r="I168" s="53"/>
    </row>
  </sheetData>
  <sheetProtection algorithmName="SHA-512" hashValue="bC+2FViWgsqazcNgEheR8C19vNMSFHpnh5lNrSanrlb+rtYPoqf5NUtl8qH6PEXkk6R9Kfbs60XpbFeAtUfyEQ==" saltValue="yyZ80AZcwBci/kiRYefFXw==" spinCount="100000" sheet="1" objects="1" scenarios="1"/>
  <mergeCells count="6">
    <mergeCell ref="B5:I5"/>
    <mergeCell ref="A8:I8"/>
    <mergeCell ref="C6:I6"/>
    <mergeCell ref="B3:C3"/>
    <mergeCell ref="E3:G3"/>
    <mergeCell ref="B7:D7"/>
  </mergeCells>
  <conditionalFormatting sqref="H13:H19">
    <cfRule type="dataBar" priority="4">
      <dataBar>
        <cfvo type="num" val="0.1"/>
        <cfvo type="num" val="1"/>
        <color rgb="FF63C384"/>
      </dataBar>
      <extLst>
        <ext xmlns:x14="http://schemas.microsoft.com/office/spreadsheetml/2009/9/main" uri="{B025F937-C7B1-47D3-B67F-A62EFF666E3E}">
          <x14:id>{136C3BEA-5FDA-4803-891B-AE7ED6A70FC3}</x14:id>
        </ext>
      </extLst>
    </cfRule>
  </conditionalFormatting>
  <dataValidations disablePrompts="1" count="1">
    <dataValidation type="list" allowBlank="1" showInputMessage="1" showErrorMessage="1" error="Opção inválida" promptTitle="Escolher B,1,2 ou 3" sqref="B6" xr:uid="{00000000-0002-0000-0000-000000000000}">
      <formula1>"B,1,2,3"</formula1>
    </dataValidation>
  </dataValidations>
  <pageMargins left="0.511811024" right="0.511811024" top="0.78740157499999996" bottom="0.78740157499999996" header="0.31496062000000002" footer="0.31496062000000002"/>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136C3BEA-5FDA-4803-891B-AE7ED6A70FC3}">
            <x14:dataBar minLength="0" maxLength="100" border="1" gradient="0" negativeBarBorderColorSameAsPositive="0">
              <x14:cfvo type="num">
                <xm:f>0.1</xm:f>
              </x14:cfvo>
              <x14:cfvo type="num">
                <xm:f>1</xm:f>
              </x14:cfvo>
              <x14:borderColor rgb="FF63C384"/>
              <x14:negativeFillColor rgb="FFFF0000"/>
              <x14:negativeBorderColor rgb="FFFF0000"/>
              <x14:axisColor rgb="FF000000"/>
            </x14:dataBar>
          </x14:cfRule>
          <xm:sqref>H13:H19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autoPageBreaks="0"/>
  </sheetPr>
  <dimension ref="A1:AG183"/>
  <sheetViews>
    <sheetView tabSelected="1" zoomScaleNormal="100" workbookViewId="0">
      <pane xSplit="5" ySplit="2" topLeftCell="F3" activePane="bottomRight" state="frozen"/>
      <selection pane="topRight" activeCell="F1" sqref="F1"/>
      <selection pane="bottomLeft" activeCell="A3" sqref="A3"/>
      <selection pane="bottomRight" activeCell="K7" sqref="K7"/>
    </sheetView>
  </sheetViews>
  <sheetFormatPr defaultColWidth="8.85546875" defaultRowHeight="26.25" x14ac:dyDescent="0.25"/>
  <cols>
    <col min="1" max="2" width="2.140625" style="210" customWidth="1"/>
    <col min="3" max="3" width="3.140625" style="1" customWidth="1"/>
    <col min="4" max="4" width="3.42578125" style="271" customWidth="1"/>
    <col min="5" max="5" width="50.85546875" style="272" customWidth="1"/>
    <col min="6" max="6" width="5.7109375" style="31" customWidth="1"/>
    <col min="7" max="7" width="33.140625" style="273" customWidth="1"/>
    <col min="8" max="8" width="0.85546875" style="273" customWidth="1"/>
    <col min="9" max="9" width="5.85546875" style="31" customWidth="1"/>
    <col min="10" max="10" width="2.140625" style="273" customWidth="1"/>
    <col min="11" max="11" width="40.5703125" style="274" customWidth="1"/>
    <col min="12" max="12" width="1.42578125" style="269" customWidth="1"/>
    <col min="13" max="13" width="5.85546875" style="62" customWidth="1"/>
    <col min="14" max="15" width="4.85546875" style="62" customWidth="1"/>
    <col min="16" max="16" width="5.85546875" style="62" customWidth="1"/>
    <col min="17" max="17" width="5.140625" style="62" customWidth="1"/>
    <col min="18" max="18" width="4.85546875" style="62" customWidth="1"/>
    <col min="19" max="20" width="4.85546875" style="214" customWidth="1"/>
    <col min="21" max="21" width="3.85546875" style="214" customWidth="1"/>
    <col min="22" max="22" width="36.42578125" style="214" customWidth="1"/>
    <col min="23" max="23" width="5.140625" style="60" customWidth="1"/>
    <col min="24" max="24" width="3" style="214" customWidth="1"/>
    <col min="25" max="28" width="13.7109375" style="214" customWidth="1"/>
    <col min="29" max="33" width="9.140625" style="214"/>
    <col min="34" max="16384" width="8.85546875" style="215"/>
  </cols>
  <sheetData>
    <row r="1" spans="1:28" ht="23.25" customHeight="1" x14ac:dyDescent="0.25">
      <c r="C1" s="139"/>
      <c r="D1" s="211"/>
      <c r="E1" s="212" t="str">
        <f>Capa!A1</f>
        <v xml:space="preserve">MEGplan®ESG </v>
      </c>
      <c r="F1" s="430" t="s">
        <v>22</v>
      </c>
      <c r="G1" s="432"/>
      <c r="H1" s="491"/>
      <c r="I1" s="427"/>
      <c r="J1" s="252"/>
      <c r="K1" s="434"/>
      <c r="L1" s="252"/>
      <c r="M1" s="725" t="s">
        <v>23</v>
      </c>
      <c r="N1" s="726"/>
      <c r="O1" s="726"/>
      <c r="P1" s="726"/>
      <c r="Q1" s="726"/>
      <c r="R1" s="726"/>
      <c r="S1" s="726"/>
      <c r="T1" s="727"/>
      <c r="U1" s="715" t="s">
        <v>24</v>
      </c>
      <c r="V1" s="587"/>
      <c r="W1" s="717" t="s">
        <v>25</v>
      </c>
      <c r="X1" s="602"/>
      <c r="Y1" s="600"/>
      <c r="Z1" s="600"/>
      <c r="AA1" s="600"/>
      <c r="AB1" s="600"/>
    </row>
    <row r="2" spans="1:28" ht="18" customHeight="1" thickBot="1" x14ac:dyDescent="0.3">
      <c r="C2" s="8" t="s">
        <v>26</v>
      </c>
      <c r="D2" s="8" t="s">
        <v>27</v>
      </c>
      <c r="E2" s="386" t="str">
        <f>"PGs: "&amp;SUMIFS($B$1:$B$238,$A$1:$A$238,"="&amp;A4&amp;"??",$D$1:$D$238,"=PG",B$1:B$238,"&gt;0")&amp;"  LV: "&amp;SUMIFS($B$1:$B$238,$A$1:$A$238,"="&amp;A4&amp;"??",$D$1:$D$238,"&lt;&gt;PG",B$1:B$238,"&gt;0")</f>
        <v>PGs: 4  LV: 14</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16"/>
      <c r="V2" s="589" t="s">
        <v>41</v>
      </c>
      <c r="W2" s="718"/>
      <c r="X2" s="603"/>
      <c r="Y2" s="601" t="s">
        <v>42</v>
      </c>
      <c r="Z2" s="601" t="s">
        <v>43</v>
      </c>
      <c r="AA2" s="601" t="s">
        <v>44</v>
      </c>
      <c r="AB2" s="601" t="s">
        <v>45</v>
      </c>
    </row>
    <row r="3" spans="1:28" ht="18" customHeight="1" x14ac:dyDescent="0.25">
      <c r="A3" s="210" t="s">
        <v>46</v>
      </c>
      <c r="C3" s="85"/>
      <c r="D3" s="86"/>
      <c r="E3" s="98">
        <f>IF(SUMIFS($B$1:$B$238,$A$1:$A$238,"="&amp;A4&amp;"??",B$1:B$238,"&gt;0")&lt;=0,0,COUNTIFS($F$1:$F$238,"*",$A$1:$A$238,"="&amp;A4&amp;"??",B$1:B$238,"&gt;0")/SUMIFS($B$1:$B$238,$A$1:$A$238,"="&amp;A4&amp;"??",B$1:B$238,"&gt;0"))</f>
        <v>0</v>
      </c>
      <c r="F3" s="89"/>
      <c r="G3" s="102"/>
      <c r="H3" s="284"/>
      <c r="I3" s="38"/>
      <c r="J3" s="284"/>
      <c r="K3" s="103"/>
      <c r="L3" s="492"/>
      <c r="M3" s="722">
        <f>MIN(IF(OR(Capa!$B$6="B",Capa!$B$6=1),AVERAGE(M7,M43,M91),(M7*'Quadro Geral'!D6+M43*'Quadro Geral'!D7+M91*'Quadro Geral'!D8)/'Quadro Geral'!D5)+U3,1)</f>
        <v>0</v>
      </c>
      <c r="N3" s="723"/>
      <c r="O3" s="723"/>
      <c r="P3" s="723"/>
      <c r="Q3" s="723"/>
      <c r="R3" s="723"/>
      <c r="S3" s="723"/>
      <c r="T3" s="724"/>
      <c r="U3" s="467">
        <f>IF(OR(AND(Capa!$B$6=2,P4&gt;0),AND(Capa!$B$6=3,P4&gt;1)),0.05,0)+IF(AND(Capa!$B$6=3,P4=1),0.02,0)+IF(OR(AND(Capa!$B$6=2,T4&gt;0),AND(Capa!$B$6=3,T4&gt;1)),0.05,0)+IF(AND(Capa!$B$6=3,T4=1),0.02,0)</f>
        <v>0</v>
      </c>
      <c r="V3" s="88"/>
      <c r="W3" s="599"/>
      <c r="X3" s="578"/>
      <c r="Y3" s="578"/>
      <c r="Z3" s="578"/>
      <c r="AA3" s="578"/>
      <c r="AB3" s="578"/>
    </row>
    <row r="4" spans="1:28" x14ac:dyDescent="0.25">
      <c r="A4" s="210" t="s">
        <v>46</v>
      </c>
      <c r="B4" s="7" t="str">
        <f>IF(  AND(ISNUMBER(C4),OR(ISNUMBER(D4),D4="PG")),IF(IF(Capa!$B$6="B",0,Capa!$B$6)&gt;=C4,1,0),"")</f>
        <v/>
      </c>
      <c r="C4" s="14" t="str">
        <f>IF(ISBLANK(D4),"",IF(ISERR(SEARCH(D4&amp;"\","&lt;B&gt;\&lt;1&gt;\&lt;2&gt;\&lt;3&gt;\")),IF(AND(NOT(ISBLANK(C2)),C2&lt;=3),C2,""),
IF(SEARCH(D4&amp;"\","&lt;B&gt;\&lt;1&gt;\&lt;2&gt;\&lt;3&gt;\")=1,0,IF(SEARCH(D4&amp;"\","&lt;B&gt;\&lt;1&gt;\&lt;2&gt;\&lt;3&gt;\")=5,1,IF(SEARCH(D4&amp;"\","&lt;B&gt;\&lt;1&gt;\&lt;2&gt;\&lt;3&gt;\")=9,2,IF(SEARCH(D4&amp;"\","&lt;B&gt;\&lt;1&gt;\&lt;2&gt;\&lt;3&gt;\")=13,3,""))))))</f>
        <v/>
      </c>
      <c r="D4" s="217"/>
      <c r="E4" s="218" t="s">
        <v>47</v>
      </c>
      <c r="F4" s="382">
        <f>IF(COUNTIFS($A$1:$A$238,"="&amp;A4&amp;"??",$B$1:$B$238,"&gt;0",$D$1:$D$238,"&gt;0")&gt;0,(COUNTIFS($A$1:$A$238,"="&amp;A4&amp;"??",$B$1:$B$238,"&gt;0",$D$1:$D$238,"&gt;0",F$1:F$238,"=S")+COUNTIFS($A$1:$A$238,"="&amp;A4&amp;"??",$B$1:$B$238,"&gt;0",$D$1:$D$238,"&gt;0",$F$1:$F$238,"=P")+COUNTIFS($A$1:$A$238,"="&amp;A4&amp;"??",$B$1:$B$238,"&gt;0",$D$1:$D$238,"&gt;0",F$1:F$238,"=N")+COUNTIFS($A$1:$A$238,"="&amp;A4&amp;"??",$B$1:$B$238,"&gt;0",$D$1:$D$238,"&gt;0",F$1:F$238,"=NA"))/COUNTIFS($A$1:$A$238,"="&amp;A4&amp;"??",$B$1:$B$238,"&gt;0",$D$1:$D$238,"&gt;0"),0)</f>
        <v>0</v>
      </c>
      <c r="G4" s="235"/>
      <c r="H4" s="220"/>
      <c r="I4" s="382">
        <f>IF(COUNTIFS($A$1:$A$238,"="&amp;A4&amp;"??",$B$1:$B$238,"&gt;0",$D$1:$D$238,"&gt;0")&gt;0,
        (COUNTIFS($A$1:$A$238,"="&amp;A4&amp;"??",$B$1:$B$238,"&gt;0",$D$1:$D$238,"&gt;0",F$1:F$238,"=S",I$1:I$238,"") +
         (COUNTIFS($A$1:$A$238,"="&amp;A4&amp;"??",$B$1:$B$238,"&gt;0",$D$1:$D$238,"&gt;0",$F$1:$F$238,"=P",I$1:I$238,"")/2) +
         COUNTIFS($A$1:$A$238,"="&amp;A4&amp;"??",$B$1:$B$238,"&gt;0",$D$1:$D$238,"&gt;0",I$1:I$238,"=S") +
         (COUNTIFS($A$1:$A$238,"="&amp;A4&amp;"??",$B$1:$B$238,"&gt;0",$D$1:$D$238,"&gt;0",I$1:I$238,"=P")/2)
         )/COUNTIFS($A$1:$A$238,"="&amp;A4&amp;"??",$B$1:$B$238,"&gt;0",$D$1:$D$238,"&gt;0"),0)</f>
        <v>0</v>
      </c>
      <c r="J4" s="220"/>
      <c r="K4" s="283"/>
      <c r="L4" s="220"/>
      <c r="M4" s="105">
        <f>AVERAGE(M8,M44,M92)</f>
        <v>0</v>
      </c>
      <c r="N4" s="105">
        <f>AVERAGE(N8,N44,N92)</f>
        <v>0</v>
      </c>
      <c r="O4" s="105">
        <f>AVERAGE(O8,O44,O92)</f>
        <v>0</v>
      </c>
      <c r="P4" s="414">
        <f>P8+P44+P92</f>
        <v>0</v>
      </c>
      <c r="Q4" s="105">
        <f>AVERAGE(Q8,Q44,Q92)</f>
        <v>0</v>
      </c>
      <c r="R4" s="105">
        <f>AVERAGE(R8,R44,R92)</f>
        <v>0</v>
      </c>
      <c r="S4" s="105">
        <f>AVERAGE(S8,S44,S92)</f>
        <v>0</v>
      </c>
      <c r="T4" s="414">
        <f>T8+T44+T92</f>
        <v>0</v>
      </c>
      <c r="U4" s="452"/>
      <c r="V4" s="221"/>
      <c r="W4" s="66"/>
      <c r="X4" s="578"/>
      <c r="Y4" s="578"/>
      <c r="Z4" s="578"/>
      <c r="AA4" s="578"/>
      <c r="AB4" s="578"/>
    </row>
    <row r="5" spans="1:28" ht="38.25" x14ac:dyDescent="0.25">
      <c r="A5" s="210" t="s">
        <v>46</v>
      </c>
      <c r="B5" s="7" t="str">
        <f>IF(  AND(ISNUMBER(C5),OR(ISNUMBER(D5),D5="PG")),IF(IF(Capa!$B$6="B",0,Capa!$B$6)&gt;=C5,1,0),"")</f>
        <v/>
      </c>
      <c r="C5" s="16" t="str">
        <f t="shared" ref="C5:C68" si="0">IF(ISBLANK(D5),"",IF(ISERR(SEARCH(D5&amp;"\","&lt;B&gt;\&lt;1&gt;\&lt;2&gt;\&lt;3&gt;\")),IF(AND(NOT(ISBLANK(C4)),C4&lt;=3),C4,""),
IF(SEARCH(D5&amp;"\","&lt;B&gt;\&lt;1&gt;\&lt;2&gt;\&lt;3&gt;\")=1,0,IF(SEARCH(D5&amp;"\","&lt;B&gt;\&lt;1&gt;\&lt;2&gt;\&lt;3&gt;\")=5,1,IF(SEARCH(D5&amp;"\","&lt;B&gt;\&lt;1&gt;\&lt;2&gt;\&lt;3&gt;\")=9,2,IF(SEARCH(D5&amp;"\","&lt;B&gt;\&lt;1&gt;\&lt;2&gt;\&lt;3&gt;\")=13,3,""))))))</f>
        <v/>
      </c>
      <c r="D5" s="222"/>
      <c r="E5" s="699" t="s">
        <v>48</v>
      </c>
      <c r="F5" s="290"/>
      <c r="G5" s="290"/>
      <c r="H5" s="252"/>
      <c r="I5" s="290"/>
      <c r="J5" s="223"/>
      <c r="K5" s="223"/>
      <c r="L5" s="701" t="str">
        <f>IF($F$4&gt;0.9,1,"")</f>
        <v/>
      </c>
      <c r="M5" s="728"/>
      <c r="N5" s="729"/>
      <c r="O5" s="729"/>
      <c r="P5" s="729"/>
      <c r="Q5" s="729"/>
      <c r="R5" s="729"/>
      <c r="S5" s="729"/>
      <c r="T5" s="730"/>
      <c r="U5" s="224"/>
      <c r="V5" s="464"/>
      <c r="W5" s="473"/>
      <c r="X5" s="465"/>
      <c r="Y5" s="465"/>
      <c r="Z5" s="465"/>
      <c r="AA5" s="465"/>
      <c r="AB5" s="465"/>
    </row>
    <row r="6" spans="1:28" ht="5.85" customHeight="1" x14ac:dyDescent="0.25">
      <c r="B6" s="7" t="str">
        <f>IF(  AND(ISNUMBER(C6),OR(ISNUMBER(D6),D6="PG")),IF(IF(Capa!$B$6="B",0,Capa!$B$6)&gt;=C6,1,0),"")</f>
        <v/>
      </c>
      <c r="C6" s="118" t="str">
        <f t="shared" si="0"/>
        <v/>
      </c>
      <c r="D6" s="225"/>
      <c r="E6" s="226"/>
      <c r="F6" s="123"/>
      <c r="G6" s="227"/>
      <c r="H6" s="227"/>
      <c r="I6" s="123"/>
      <c r="J6" s="227"/>
      <c r="K6" s="228"/>
      <c r="L6" s="227"/>
      <c r="M6" s="119"/>
      <c r="N6" s="119"/>
      <c r="O6" s="119"/>
      <c r="P6" s="119"/>
      <c r="Q6" s="119"/>
      <c r="R6" s="119"/>
      <c r="S6" s="229"/>
      <c r="T6" s="229"/>
      <c r="U6" s="454"/>
      <c r="V6" s="642"/>
      <c r="W6" s="121"/>
      <c r="X6" s="465"/>
      <c r="Y6" s="465"/>
      <c r="Z6" s="465"/>
      <c r="AA6" s="465"/>
      <c r="AB6" s="465"/>
    </row>
    <row r="7" spans="1:28" ht="18.95" customHeight="1" x14ac:dyDescent="0.25">
      <c r="A7" s="210" t="s">
        <v>49</v>
      </c>
      <c r="B7" s="7" t="str">
        <f>IF(  AND(ISNUMBER(C7),OR(ISNUMBER(D7),D7="PG")),IF(IF(Capa!$B$6="B",0,Capa!$B$6)&gt;=C7,1,0),"")</f>
        <v/>
      </c>
      <c r="C7" s="117" t="str">
        <f t="shared" si="0"/>
        <v/>
      </c>
      <c r="D7" s="230"/>
      <c r="E7" s="231" t="s">
        <v>50</v>
      </c>
      <c r="F7" s="381">
        <f>IF(COUNTIFS($A$1:$A$238,"="&amp;A7&amp;"?",$B$1:$B$238,"&gt;0",$D$1:$D$238,"&gt;0")&gt;0,(COUNTIFS($A$1:$A$238,"="&amp;A7&amp;"?",$B$1:$B$238,"&gt;0",$D$1:$D$238,"&gt;0",F$1:F$238,"=S")+COUNTIFS($A$1:$A$238,"="&amp;A7&amp;"?",$B$1:$B$238,"&gt;0",$D$1:$D$238,"&gt;0",$F$1:$F$238,"=P")+COUNTIFS($A$1:$A$238,"="&amp;A7&amp;"?",$B$1:$B$238,"&gt;0",$D$1:$D$238,"&gt;0",F$1:F$238,"=N")+COUNTIFS($A$1:$A$238,"="&amp;A7&amp;"?",$B$1:$B$238,"&gt;0",$D$1:$D$238,"&gt;0",F$1:F$238,"=NA"))/COUNTIFS($A$1:$A$238,"="&amp;A7&amp;"?",$B$1:$B$238,"&gt;0",$D$1:$D$238,"&gt;0"),0)</f>
        <v>0</v>
      </c>
      <c r="G7" s="490"/>
      <c r="H7" s="232"/>
      <c r="I7" s="381">
        <f>IF(COUNTIFS($A$1:$A$238,"="&amp;A7&amp;"?",$B$1:$B$238,"&gt;0",$D$1:$D$238,"&gt;0")&gt;0,
        (COUNTIFS($A$1:$A$238,"="&amp;A7&amp;"?",$B$1:$B$238,"&gt;0",$D$1:$D$238,"&gt;0",F$1:F$238,"=S",I$1:I$238,"") +
         (COUNTIFS($A$1:$A$238,"="&amp;A7&amp;"?",$B$1:$B$238,"&gt;0",$D$1:$D$238,"&gt;0",$F$1:$F$238,"=P",I$1:I$238,"")/2) +
         COUNTIFS($A$1:$A$238,"="&amp;A7&amp;"?",$B$1:$B$238,"&gt;0",$D$1:$D$238,"&gt;0",I$1:I$238,"=S") +
         (COUNTIFS($A$1:$A$238,"="&amp;A7&amp;"?",$B$1:$B$238,"&gt;0",$D$1:$D$238,"&gt;0",I$1:I$238,"=P")/2)
         )/COUNTIFS($A$1:$A$238,"="&amp;A7&amp;"?",$B$1:$B$238,"&gt;0",$D$1:$D$238,"&gt;0"),0)</f>
        <v>0</v>
      </c>
      <c r="J7" s="232"/>
      <c r="K7" s="493"/>
      <c r="L7" s="232"/>
      <c r="M7" s="722">
        <f>(M8*20+N8*10+O8*10+Q8*30+R8*15+S8*15)/100</f>
        <v>0</v>
      </c>
      <c r="N7" s="723"/>
      <c r="O7" s="723"/>
      <c r="P7" s="723"/>
      <c r="Q7" s="723"/>
      <c r="R7" s="723"/>
      <c r="S7" s="723"/>
      <c r="T7" s="724"/>
      <c r="U7" s="450"/>
      <c r="V7" s="643"/>
      <c r="W7" s="483"/>
      <c r="X7" s="578"/>
      <c r="Y7" s="579"/>
      <c r="Z7" s="579"/>
      <c r="AA7" s="579"/>
      <c r="AB7" s="579"/>
    </row>
    <row r="8" spans="1:28" ht="17.100000000000001" customHeight="1" x14ac:dyDescent="0.25">
      <c r="A8" s="210" t="s">
        <v>49</v>
      </c>
      <c r="B8" s="7" t="str">
        <f>IF(  AND(ISNUMBER(C8),OR(ISNUMBER(D8),D8="PG")),IF(IF(Capa!$B$6="B",0,Capa!$B$6)&gt;=C8,1,0),"")</f>
        <v/>
      </c>
      <c r="C8" s="39" t="str">
        <f t="shared" si="0"/>
        <v/>
      </c>
      <c r="D8" s="233"/>
      <c r="E8" s="98">
        <f>IF(SUMIFS($B$1:$B$238,$A$1:$A$238,"="&amp;A7&amp;"?",B$1:B$238,"&gt;0")&lt;=0,0,COUNTIFS($F$1:$F$238,"*",$A$1:$A$238,"="&amp;A7&amp;"?",B$1:B$238,"&gt;0")/SUMIFS($B$1:$B$238,$A$1:$A$238,"="&amp;A7&amp;"?",B$1:B$238,"&gt;0"))</f>
        <v>0</v>
      </c>
      <c r="F8" s="108"/>
      <c r="G8" s="510"/>
      <c r="H8" s="234"/>
      <c r="I8" s="115"/>
      <c r="J8" s="235"/>
      <c r="K8" s="493"/>
      <c r="L8" s="235"/>
      <c r="M8" s="100">
        <f>(COUNTIFS($A$1:$A$238,"="&amp;$A7&amp;"?",$B$1:$B$238,"&gt;0",$D$1:$D$238,"=PG",M$1:M$238,"=1")*(IF(Capa!$B$6="B",100,IF(Capa!$B$6=1,50,IF(Capa!$B$6=2,33,25))))+COUNTIFS($A$1:$A$238,"="&amp;$A7&amp;"?",$B$1:$B$238,"&gt;0",$D$1:$D$238,"=PG",M$1:M$238,"=2")*(IF(Capa!$B$6="B",100,IF(Capa!$B$6=1,100,IF(Capa!$B$6=2,67,50))))+COUNTIFS($A$1:$A$238,"="&amp;$A7&amp;"?",$B$1:$B$238,"&gt;0",$D$1:$D$238,"=PG",M$1:M$238,"=3")*(IF(Capa!$B$6="B",100,IF(Capa!$B$6=1,100,IF(Capa!$B$6=2,100,75))))+COUNTIFS($A$1:$A$238,"="&amp;$A7&amp;"?",$B$1:$B$238,"&gt;0",$D$1:$D$238,"=PG",M$1:M$238,"=4")*100)/(COUNTIFS($A$1:$A$238,"="&amp;$A7&amp;"?",$B$1:$B$238,"&gt;0",$D$1:$D$238,"=PG")*100)</f>
        <v>0</v>
      </c>
      <c r="N8" s="100">
        <f>(COUNTIFS($A$1:$A$238,"="&amp;$A7&amp;"?",$B$1:$B$238,"&gt;0",$D$1:$D$238,"=PG",N$1:N$238,"=1")*(IF(Capa!$B$6="B",100,IF(Capa!$B$6=1,50,IF(Capa!$B$6=2,33,25))))+COUNTIFS($A$1:$A$238,"="&amp;$A7&amp;"?",$B$1:$B$238,"&gt;0",$D$1:$D$238,"=PG",N$1:N$238,"=2")*(IF(Capa!$B$6="B",100,IF(Capa!$B$6=1,100,IF(Capa!$B$6=2,67,50))))+COUNTIFS($A$1:$A$238,"="&amp;$A7&amp;"?",$B$1:$B$238,"&gt;0",$D$1:$D$238,"=PG",N$1:N$238,"=3")*(IF(Capa!$B$6="B",100,IF(Capa!$B$6=1,100,IF(Capa!$B$6=2,100,75))))+COUNTIFS($A$1:$A$238,"="&amp;$A7&amp;"?",$B$1:$B$238,"&gt;0",$D$1:$D$238,"=PG",N$1:N$238,"=4")*100)/(COUNTIFS($A$1:$A$238,"="&amp;$A7&amp;"?",$B$1:$B$238,"&gt;0",$D$1:$D$238,"=PG")*100)</f>
        <v>0</v>
      </c>
      <c r="O8" s="100">
        <f>(COUNTIFS($A$1:$A$238,"="&amp;$A7&amp;"?",$B$1:$B$238,"&gt;0",$D$1:$D$238,"=PG",O$1:O$238,"=1")*(IF(Capa!$B$6="B",100,IF(Capa!$B$6=1,50,IF(Capa!$B$6=2,33,25))))+COUNTIFS($A$1:$A$238,"="&amp;$A7&amp;"?",$B$1:$B$238,"&gt;0",$D$1:$D$238,"=PG",O$1:O$238,"=2")*(IF(Capa!$B$6="B",100,IF(Capa!$B$6=1,100,IF(Capa!$B$6=2,67,50))))+COUNTIFS($A$1:$A$238,"="&amp;$A7&amp;"?",$B$1:$B$238,"&gt;0",$D$1:$D$238,"=PG",O$1:O$238,"=3")*(IF(Capa!$B$6="B",100,IF(Capa!$B$6=1,100,IF(Capa!$B$6=2,100,75))))+COUNTIFS($A$1:$A$238,"="&amp;$A7&amp;"?",$B$1:$B$238,"&gt;0",$D$1:$D$238,"=PG",O$1:O$238,"=4")*100)/(COUNTIFS($A$1:$A$238,"="&amp;$A7&amp;"?",$B$1:$B$238,"&gt;0",$D$1:$D$238,"=PG")*100)</f>
        <v>0</v>
      </c>
      <c r="P8" s="414">
        <f>P11+P33</f>
        <v>0</v>
      </c>
      <c r="Q8" s="100">
        <f>(COUNTIFS($A$1:$A$238,"="&amp;$A7&amp;"?",$B$1:$B$238,"",$L$1:$L$238,"&gt;=0",Q$1:Q$238,"=1")*(IF(Capa!$B$6="B",100,IF(Capa!$B$6=1,50,IF(Capa!$B$6=2,33,25))))+COUNTIFS($A$1:$A$238,"="&amp;$A7&amp;"?",$B$1:$B$238,"",$L$1:$L$238,"&gt;=0",Q$1:Q$238,"=2")*(IF(Capa!$B$6="B",100,IF(Capa!$B$6=1,100,IF(Capa!$B$6=2,67,50))))+COUNTIFS($A$1:$A$238,"="&amp;$A7&amp;"?",$B$1:$B$238,"",$L$1:$L$238,"&gt;=0",Q$1:Q$238,"=3")*(IF(Capa!$B$6="B",100,IF(Capa!$B$6=1,100,IF(Capa!$B$6=2,100,75))))+COUNTIFS($A$1:$A$238,"="&amp;$A7&amp;"?",$B$1:$B$238,"",$L$1:$L$238,"&gt;=0",Q$1:Q$238,"=4")*100)/(COUNTIFS($A$1:$A$238,"="&amp;$A7&amp;"?",$B$1:$B$238,"",$L$1:$L$238,"&gt;=0")*100)</f>
        <v>0</v>
      </c>
      <c r="R8" s="100">
        <f>(COUNTIFS($A$1:$A$238,"="&amp;$A7&amp;"?",$B$1:$B$238,"&gt;0",$D$1:$D$238,"=PG",R$1:R$238,"=1")*(IF(Capa!$B$6="B",100,IF(Capa!$B$6=1,50,IF(Capa!$B$6=2,33,25))))+COUNTIFS($A$1:$A$238,"="&amp;$A7&amp;"?",$B$1:$B$238,"&gt;0",$D$1:$D$238,"=PG",R$1:R$238,"=2")*(IF(Capa!$B$6="B",100,IF(Capa!$B$6=1,100,IF(Capa!$B$6=2,67,50))))+COUNTIFS($A$1:$A$238,"="&amp;$A7&amp;"?",$B$1:$B$238,"&gt;0",$D$1:$D$238,"=PG",R$1:R$238,"=3")*(IF(Capa!$B$6="B",100,IF(Capa!$B$6=1,100,IF(Capa!$B$6=2,100,75))))+COUNTIFS($A$1:$A$238,"="&amp;$A7&amp;"?",$B$1:$B$238,"&gt;0",$D$1:$D$238,"=PG",R$1:R$238,"=4")*100)/(COUNTIFS($A$1:$A$238,"="&amp;$A7&amp;"?",$B$1:$B$238,"&gt;0",$D$1:$D$238,"=PG")*100)</f>
        <v>0</v>
      </c>
      <c r="S8" s="100">
        <f>(COUNTIFS($A$1:$A$238,"="&amp;$A7&amp;"?",$B$1:$B$238,"&gt;0",$D$1:$D$238,"=PG",S$1:S$238,"=1")*(IF(Capa!$B$6="B",100,IF(Capa!$B$6=1,50,IF(Capa!$B$6=2,33,25))))+COUNTIFS($A$1:$A$238,"="&amp;$A7&amp;"?",$B$1:$B$238,"&gt;0",$D$1:$D$238,"=PG",S$1:S$238,"=2")*(IF(Capa!$B$6="B",100,IF(Capa!$B$6=1,100,IF(Capa!$B$6=2,67,50))))+COUNTIFS($A$1:$A$238,"="&amp;$A7&amp;"?",$B$1:$B$238,"&gt;0",$D$1:$D$238,"=PG",S$1:S$238,"=3")*(IF(Capa!$B$6="B",100,IF(Capa!$B$6=1,100,IF(Capa!$B$6=2,100,75))))+COUNTIFS($A$1:$A$238,"="&amp;$A7&amp;"?",$B$1:$B$238,"&gt;0",$D$1:$D$238,"=PG",S$1:S$238,"=4")*100)/(COUNTIFS($A$1:$A$238,"="&amp;$A7&amp;"?",$B$1:$B$238,"&gt;0",$D$1:$D$238,"=PG")*100)</f>
        <v>0</v>
      </c>
      <c r="T8" s="414">
        <f>T11+T33</f>
        <v>0</v>
      </c>
      <c r="U8" s="100"/>
      <c r="V8" s="644"/>
      <c r="W8" s="484"/>
      <c r="X8" s="465"/>
      <c r="Y8" s="522"/>
      <c r="Z8" s="522"/>
      <c r="AA8" s="522"/>
      <c r="AB8" s="522"/>
    </row>
    <row r="9" spans="1:28" ht="27" customHeight="1" x14ac:dyDescent="0.25">
      <c r="A9" s="210" t="s">
        <v>51</v>
      </c>
      <c r="B9" s="7" t="str">
        <f>IF(  AND(ISNUMBER(C9),OR(ISNUMBER(D9),D9="PG")),IF(IF(Capa!$B$6="B",0,Capa!$B$6)&gt;=C9,1,0),"")</f>
        <v/>
      </c>
      <c r="C9" s="11" t="str">
        <f t="shared" si="0"/>
        <v/>
      </c>
      <c r="D9" s="217"/>
      <c r="E9" s="387" t="s">
        <v>52</v>
      </c>
      <c r="F9" s="24"/>
      <c r="G9" s="511"/>
      <c r="H9" s="236"/>
      <c r="I9" s="33"/>
      <c r="J9" s="219"/>
      <c r="K9" s="493"/>
      <c r="L9" s="383">
        <f>IF(AND($B11=1,D11="PG"),IF(COUNTIFS($A$1:$A$238,"="&amp;$A9,$B$1:$B$238,"&gt;0",$D$1:$D$238,"&gt;0")&gt;0,
        (COUNTIFS($A$1:$A$238,"="&amp;$A9,$B$1:$B$238,"&gt;0",$D$1:$D$238,"&gt;0",F$1:F$238,"=S",I$1:I$238,"") +
         (COUNTIFS($A$1:$A$238,"="&amp;$A9,$B$1:$B$238,"&gt;0",$D$1:$D$238,"&gt;0",$F$1:$F$238,"=P",I$1:I$238,"")/2) +
         COUNTIFS($A$1:$A$238,"="&amp;$A9,$B$1:$B$238,"&gt;0",$D$1:$D$238,"&gt;0",I$1:I$238,"=S") +
         (COUNTIFS($A$1:$A$238,"="&amp;$A9,$B$1:$B$238,"&gt;0",$D$1:$D$238,"&gt;0",I$1:I$238,"=P")/2)
         )/COUNTIFS($A$1:$A$238,"="&amp;$A9,$B$1:$B$238,"&gt;0",$D$1:$D$238,"&gt;0"),1),"")</f>
        <v>0</v>
      </c>
      <c r="M9" s="380"/>
      <c r="N9" s="70"/>
      <c r="O9" s="68"/>
      <c r="P9" s="68"/>
      <c r="Q9" s="83">
        <f>IF(L9="","",MIN(IF(ISBLANK(Q11),0,Q11),IF(L9&gt;0.9,4,IF(L9&gt;0.5,3,IF(L9&gt;0.3,2,IF(OR(L9&gt;0,Q11&gt;0),1,0))))))</f>
        <v>0</v>
      </c>
      <c r="R9" s="68"/>
      <c r="S9" s="68"/>
      <c r="T9" s="68"/>
      <c r="U9" s="68"/>
      <c r="V9" s="594"/>
      <c r="W9" s="479"/>
      <c r="X9" s="578"/>
      <c r="Y9" s="579"/>
      <c r="Z9" s="579"/>
      <c r="AA9" s="579"/>
      <c r="AB9" s="579"/>
    </row>
    <row r="10" spans="1:28" ht="5.45" customHeight="1" x14ac:dyDescent="0.25">
      <c r="A10" s="210" t="s">
        <v>51</v>
      </c>
      <c r="B10" s="7" t="str">
        <f>IF(  AND(ISNUMBER(C10),OR(ISNUMBER(D10),D10="PG")),IF(IF(Capa!$B$6="B",0,Capa!$B$6)&gt;=C10,1,0),"")</f>
        <v/>
      </c>
      <c r="C10" s="12">
        <f t="shared" si="0"/>
        <v>0</v>
      </c>
      <c r="D10" s="13" t="s">
        <v>53</v>
      </c>
      <c r="E10" s="388"/>
      <c r="F10" s="25"/>
      <c r="G10" s="505"/>
      <c r="H10" s="238"/>
      <c r="I10" s="34"/>
      <c r="J10" s="239"/>
      <c r="K10" s="505"/>
      <c r="L10" s="240"/>
      <c r="M10" s="114"/>
      <c r="N10" s="114"/>
      <c r="O10" s="114"/>
      <c r="P10" s="114"/>
      <c r="Q10" s="114"/>
      <c r="R10" s="114"/>
      <c r="S10" s="114"/>
      <c r="T10" s="114"/>
      <c r="U10" s="455"/>
      <c r="V10" s="645"/>
      <c r="W10" s="480"/>
      <c r="X10" s="465"/>
      <c r="Y10" s="522"/>
      <c r="Z10" s="522"/>
      <c r="AA10" s="522"/>
      <c r="AB10" s="522"/>
    </row>
    <row r="11" spans="1:28" ht="63.75" x14ac:dyDescent="0.25">
      <c r="A11" s="646" t="s">
        <v>51</v>
      </c>
      <c r="B11" s="7">
        <f>IF(  AND(ISNUMBER(C11),OR(ISNUMBER(D11),D11="PG")),IF(IF(Capa!$B$6="B",0,Capa!$B$6)&gt;=C11,1,0),"")</f>
        <v>1</v>
      </c>
      <c r="C11" s="12">
        <f t="shared" si="0"/>
        <v>0</v>
      </c>
      <c r="D11" s="647" t="s">
        <v>54</v>
      </c>
      <c r="E11" s="389" t="s">
        <v>55</v>
      </c>
      <c r="F11" s="513"/>
      <c r="G11" s="468"/>
      <c r="H11" s="241"/>
      <c r="I11" s="29"/>
      <c r="J11" s="239"/>
      <c r="K11" s="471"/>
      <c r="L11" s="697"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81"/>
      <c r="X11" s="464"/>
      <c r="Y11" s="522"/>
      <c r="Z11" s="522"/>
      <c r="AA11" s="522"/>
      <c r="AB11" s="522"/>
    </row>
    <row r="12" spans="1:28" ht="68.099999999999994" customHeight="1" x14ac:dyDescent="0.25">
      <c r="A12" s="646" t="s">
        <v>51</v>
      </c>
      <c r="B12" s="7">
        <f>IF(  AND(ISNUMBER(C12),OR(ISNUMBER(D12),D12="PG")),IF(IF(Capa!$B$6="B",0,Capa!$B$6)&gt;=C12,1,0),"")</f>
        <v>1</v>
      </c>
      <c r="C12" s="12">
        <f t="shared" si="0"/>
        <v>0</v>
      </c>
      <c r="D12" s="647">
        <v>1</v>
      </c>
      <c r="E12" s="352" t="s">
        <v>56</v>
      </c>
      <c r="F12" s="513"/>
      <c r="G12" s="468"/>
      <c r="H12" s="241"/>
      <c r="I12" s="29"/>
      <c r="J12" s="425">
        <f>LEN(K12)</f>
        <v>0</v>
      </c>
      <c r="K12" s="471"/>
      <c r="L12" s="697" t="str">
        <f>IF(OR(I12="N",I12="P"),1,"")</f>
        <v/>
      </c>
      <c r="M12" s="719"/>
      <c r="N12" s="720"/>
      <c r="O12" s="720"/>
      <c r="P12" s="720"/>
      <c r="Q12" s="720"/>
      <c r="R12" s="720"/>
      <c r="S12" s="720"/>
      <c r="T12" s="721"/>
      <c r="U12" s="71"/>
      <c r="V12" s="464"/>
      <c r="W12" s="481"/>
      <c r="X12" s="464"/>
      <c r="Y12" s="522"/>
      <c r="Z12" s="522"/>
      <c r="AA12" s="522"/>
      <c r="AB12" s="522"/>
    </row>
    <row r="13" spans="1:28" ht="45" x14ac:dyDescent="0.25">
      <c r="A13" s="646" t="s">
        <v>51</v>
      </c>
      <c r="B13" s="7">
        <f>IF(  AND(ISNUMBER(C13),OR(ISNUMBER(D13),D13="PG")),IF(IF(Capa!$B$6="B",0,Capa!$B$6)&gt;=C13,1,0),"")</f>
        <v>1</v>
      </c>
      <c r="C13" s="12">
        <f t="shared" si="0"/>
        <v>0</v>
      </c>
      <c r="D13" s="647">
        <v>2</v>
      </c>
      <c r="E13" s="352" t="s">
        <v>57</v>
      </c>
      <c r="F13" s="513"/>
      <c r="G13" s="468"/>
      <c r="H13" s="241"/>
      <c r="I13" s="29"/>
      <c r="J13" s="425">
        <f t="shared" ref="J13:J29" si="1">LEN(K13)</f>
        <v>0</v>
      </c>
      <c r="K13" s="471"/>
      <c r="L13" s="697" t="str">
        <f t="shared" ref="L13:L41" si="2">IF(OR(I13="N",I13="P"),1,"")</f>
        <v/>
      </c>
      <c r="M13" s="719"/>
      <c r="N13" s="720"/>
      <c r="O13" s="720"/>
      <c r="P13" s="720"/>
      <c r="Q13" s="720"/>
      <c r="R13" s="720"/>
      <c r="S13" s="720"/>
      <c r="T13" s="721"/>
      <c r="U13" s="71"/>
      <c r="V13" s="464"/>
      <c r="W13" s="481"/>
      <c r="X13" s="464"/>
      <c r="Y13" s="522"/>
      <c r="Z13" s="522"/>
      <c r="AA13" s="522"/>
      <c r="AB13" s="522"/>
    </row>
    <row r="14" spans="1:28" ht="49.35" customHeight="1" x14ac:dyDescent="0.25">
      <c r="A14" s="646" t="s">
        <v>51</v>
      </c>
      <c r="B14" s="7">
        <f>IF(  AND(ISNUMBER(C14),OR(ISNUMBER(D14),D14="PG")),IF(IF(Capa!$B$6="B",0,Capa!$B$6)&gt;=C14,1,0),"")</f>
        <v>1</v>
      </c>
      <c r="C14" s="12">
        <f t="shared" si="0"/>
        <v>0</v>
      </c>
      <c r="D14" s="647">
        <v>3</v>
      </c>
      <c r="E14" s="352" t="s">
        <v>58</v>
      </c>
      <c r="F14" s="513"/>
      <c r="G14" s="468"/>
      <c r="H14" s="241"/>
      <c r="I14" s="29"/>
      <c r="J14" s="425">
        <f t="shared" si="1"/>
        <v>0</v>
      </c>
      <c r="K14" s="471"/>
      <c r="L14" s="697" t="str">
        <f t="shared" si="2"/>
        <v/>
      </c>
      <c r="M14" s="719"/>
      <c r="N14" s="720"/>
      <c r="O14" s="720"/>
      <c r="P14" s="720"/>
      <c r="Q14" s="720"/>
      <c r="R14" s="720"/>
      <c r="S14" s="720"/>
      <c r="T14" s="721"/>
      <c r="U14" s="71"/>
      <c r="V14" s="464"/>
      <c r="W14" s="481"/>
      <c r="X14" s="464"/>
      <c r="Y14" s="522"/>
      <c r="Z14" s="522"/>
      <c r="AA14" s="522"/>
      <c r="AB14" s="522"/>
    </row>
    <row r="15" spans="1:28" ht="60" x14ac:dyDescent="0.25">
      <c r="A15" s="646" t="s">
        <v>51</v>
      </c>
      <c r="B15" s="7">
        <f>IF(  AND(ISNUMBER(C15),OR(ISNUMBER(D15),D15="PG")),IF(IF(Capa!$B$6="B",0,Capa!$B$6)&gt;=C15,1,0),"")</f>
        <v>1</v>
      </c>
      <c r="C15" s="12">
        <f t="shared" si="0"/>
        <v>0</v>
      </c>
      <c r="D15" s="647">
        <v>4</v>
      </c>
      <c r="E15" s="352" t="s">
        <v>59</v>
      </c>
      <c r="F15" s="513"/>
      <c r="G15" s="468"/>
      <c r="H15" s="241"/>
      <c r="I15" s="29"/>
      <c r="J15" s="425">
        <f t="shared" si="1"/>
        <v>0</v>
      </c>
      <c r="K15" s="471"/>
      <c r="L15" s="697" t="str">
        <f t="shared" si="2"/>
        <v/>
      </c>
      <c r="M15" s="719"/>
      <c r="N15" s="720"/>
      <c r="O15" s="720"/>
      <c r="P15" s="720"/>
      <c r="Q15" s="720"/>
      <c r="R15" s="720"/>
      <c r="S15" s="720"/>
      <c r="T15" s="721"/>
      <c r="U15" s="71"/>
      <c r="V15" s="464"/>
      <c r="W15" s="481"/>
      <c r="X15" s="464"/>
      <c r="Y15" s="522"/>
      <c r="Z15" s="522"/>
      <c r="AA15" s="522"/>
      <c r="AB15" s="522"/>
    </row>
    <row r="16" spans="1:28" ht="45" x14ac:dyDescent="0.25">
      <c r="A16" s="646" t="s">
        <v>51</v>
      </c>
      <c r="B16" s="7">
        <f>IF(  AND(ISNUMBER(C16),OR(ISNUMBER(D16),D16="PG")),IF(IF(Capa!$B$6="B",0,Capa!$B$6)&gt;=C16,1,0),"")</f>
        <v>1</v>
      </c>
      <c r="C16" s="12">
        <f t="shared" si="0"/>
        <v>0</v>
      </c>
      <c r="D16" s="647">
        <v>5</v>
      </c>
      <c r="E16" s="648" t="s">
        <v>60</v>
      </c>
      <c r="F16" s="513"/>
      <c r="G16" s="468"/>
      <c r="H16" s="241"/>
      <c r="I16" s="29"/>
      <c r="J16" s="425">
        <f t="shared" si="1"/>
        <v>0</v>
      </c>
      <c r="K16" s="471"/>
      <c r="L16" s="697" t="str">
        <f t="shared" si="2"/>
        <v/>
      </c>
      <c r="M16" s="719"/>
      <c r="N16" s="720"/>
      <c r="O16" s="720"/>
      <c r="P16" s="720"/>
      <c r="Q16" s="720"/>
      <c r="R16" s="720"/>
      <c r="S16" s="720"/>
      <c r="T16" s="721"/>
      <c r="U16" s="71"/>
      <c r="V16" s="464"/>
      <c r="W16" s="481"/>
      <c r="X16" s="464"/>
      <c r="Y16" s="522"/>
      <c r="Z16" s="522"/>
      <c r="AA16" s="522"/>
      <c r="AB16" s="522"/>
    </row>
    <row r="17" spans="1:28" ht="45" x14ac:dyDescent="0.25">
      <c r="A17" s="646" t="s">
        <v>51</v>
      </c>
      <c r="B17" s="7">
        <f>IF(  AND(ISNUMBER(C17),OR(ISNUMBER(D17),D17="PG")),IF(IF(Capa!$B$6="B",0,Capa!$B$6)&gt;=C17,1,0),"")</f>
        <v>1</v>
      </c>
      <c r="C17" s="12">
        <f t="shared" si="0"/>
        <v>0</v>
      </c>
      <c r="D17" s="647">
        <v>6</v>
      </c>
      <c r="E17" s="352" t="s">
        <v>61</v>
      </c>
      <c r="F17" s="513"/>
      <c r="G17" s="468"/>
      <c r="H17" s="241"/>
      <c r="I17" s="29"/>
      <c r="J17" s="425">
        <f t="shared" si="1"/>
        <v>0</v>
      </c>
      <c r="K17" s="471"/>
      <c r="L17" s="697" t="str">
        <f t="shared" si="2"/>
        <v/>
      </c>
      <c r="M17" s="719"/>
      <c r="N17" s="720"/>
      <c r="O17" s="720"/>
      <c r="P17" s="720"/>
      <c r="Q17" s="720"/>
      <c r="R17" s="720"/>
      <c r="S17" s="720"/>
      <c r="T17" s="721"/>
      <c r="U17" s="71"/>
      <c r="V17" s="464"/>
      <c r="W17" s="481"/>
      <c r="X17" s="464"/>
      <c r="Y17" s="522"/>
      <c r="Z17" s="522"/>
      <c r="AA17" s="522"/>
      <c r="AB17" s="522"/>
    </row>
    <row r="18" spans="1:28" ht="8.4499999999999993" customHeight="1" x14ac:dyDescent="0.25">
      <c r="A18" s="646" t="s">
        <v>51</v>
      </c>
      <c r="B18" s="7" t="str">
        <f>IF(  AND(ISNUMBER(C18),OR(ISNUMBER(D18),D18="PG")),IF(IF(Capa!$B$6="B",0,Capa!$B$6)&gt;=C18,1,0),"")</f>
        <v/>
      </c>
      <c r="C18" s="12">
        <f t="shared" si="0"/>
        <v>1</v>
      </c>
      <c r="D18" s="647" t="s">
        <v>62</v>
      </c>
      <c r="E18" s="352"/>
      <c r="F18" s="513"/>
      <c r="G18" s="468"/>
      <c r="H18" s="241"/>
      <c r="I18" s="29"/>
      <c r="J18" s="239"/>
      <c r="K18" s="471"/>
      <c r="L18" s="697" t="str">
        <f t="shared" si="2"/>
        <v/>
      </c>
      <c r="M18" s="719"/>
      <c r="N18" s="720"/>
      <c r="O18" s="720"/>
      <c r="P18" s="720"/>
      <c r="Q18" s="720"/>
      <c r="R18" s="720"/>
      <c r="S18" s="720"/>
      <c r="T18" s="721"/>
      <c r="U18" s="71"/>
      <c r="V18" s="464"/>
      <c r="W18" s="481"/>
      <c r="X18" s="464"/>
      <c r="Y18" s="522"/>
      <c r="Z18" s="522"/>
      <c r="AA18" s="522"/>
      <c r="AB18" s="522"/>
    </row>
    <row r="19" spans="1:28" ht="41.85" customHeight="1" x14ac:dyDescent="0.25">
      <c r="A19" s="646" t="s">
        <v>51</v>
      </c>
      <c r="B19" s="7">
        <f>IF(  AND(ISNUMBER(C19),OR(ISNUMBER(D19),D19="PG")),IF(IF(Capa!$B$6="B",0,Capa!$B$6)&gt;=C19,1,0),"")</f>
        <v>0</v>
      </c>
      <c r="C19" s="12">
        <f t="shared" si="0"/>
        <v>1</v>
      </c>
      <c r="D19" s="647">
        <v>7</v>
      </c>
      <c r="E19" s="352" t="s">
        <v>63</v>
      </c>
      <c r="F19" s="513"/>
      <c r="G19" s="468"/>
      <c r="H19" s="241"/>
      <c r="I19" s="29"/>
      <c r="J19" s="425">
        <f t="shared" si="1"/>
        <v>0</v>
      </c>
      <c r="K19" s="471"/>
      <c r="L19" s="697" t="str">
        <f t="shared" si="2"/>
        <v/>
      </c>
      <c r="M19" s="719"/>
      <c r="N19" s="720"/>
      <c r="O19" s="720"/>
      <c r="P19" s="720"/>
      <c r="Q19" s="720"/>
      <c r="R19" s="720"/>
      <c r="S19" s="720"/>
      <c r="T19" s="721"/>
      <c r="U19" s="71"/>
      <c r="V19" s="464"/>
      <c r="W19" s="481"/>
      <c r="X19" s="464"/>
      <c r="Y19" s="522"/>
      <c r="Z19" s="522"/>
      <c r="AA19" s="522"/>
      <c r="AB19" s="522"/>
    </row>
    <row r="20" spans="1:28" ht="8.4499999999999993" customHeight="1" x14ac:dyDescent="0.25">
      <c r="A20" s="646" t="s">
        <v>51</v>
      </c>
      <c r="B20" s="7" t="str">
        <f>IF(  AND(ISNUMBER(C20),OR(ISNUMBER(D20),D20="PG")),IF(IF(Capa!$B$6="B",0,Capa!$B$6)&gt;=C20,1,0),"")</f>
        <v/>
      </c>
      <c r="C20" s="12">
        <f t="shared" si="0"/>
        <v>2</v>
      </c>
      <c r="D20" s="647" t="s">
        <v>64</v>
      </c>
      <c r="E20" s="352"/>
      <c r="F20" s="513"/>
      <c r="G20" s="468"/>
      <c r="H20" s="241"/>
      <c r="I20" s="29"/>
      <c r="J20" s="239"/>
      <c r="K20" s="471"/>
      <c r="L20" s="697" t="str">
        <f t="shared" si="2"/>
        <v/>
      </c>
      <c r="M20" s="719"/>
      <c r="N20" s="720"/>
      <c r="O20" s="720"/>
      <c r="P20" s="720"/>
      <c r="Q20" s="720"/>
      <c r="R20" s="720"/>
      <c r="S20" s="720"/>
      <c r="T20" s="721"/>
      <c r="U20" s="71"/>
      <c r="V20" s="464"/>
      <c r="W20" s="481"/>
      <c r="X20" s="464"/>
      <c r="Y20" s="522"/>
      <c r="Z20" s="522"/>
      <c r="AA20" s="522"/>
      <c r="AB20" s="522"/>
    </row>
    <row r="21" spans="1:28" ht="60" x14ac:dyDescent="0.25">
      <c r="A21" s="646" t="s">
        <v>51</v>
      </c>
      <c r="B21" s="7">
        <f>IF(  AND(ISNUMBER(C21),OR(ISNUMBER(D21),D21="PG")),IF(IF(Capa!$B$6="B",0,Capa!$B$6)&gt;=C21,1,0),"")</f>
        <v>0</v>
      </c>
      <c r="C21" s="12">
        <f t="shared" si="0"/>
        <v>2</v>
      </c>
      <c r="D21" s="647">
        <v>8</v>
      </c>
      <c r="E21" s="352" t="s">
        <v>65</v>
      </c>
      <c r="F21" s="513"/>
      <c r="G21" s="468"/>
      <c r="H21" s="241"/>
      <c r="I21" s="29"/>
      <c r="J21" s="425">
        <f t="shared" si="1"/>
        <v>0</v>
      </c>
      <c r="K21" s="471"/>
      <c r="L21" s="697" t="str">
        <f t="shared" si="2"/>
        <v/>
      </c>
      <c r="M21" s="719"/>
      <c r="N21" s="720"/>
      <c r="O21" s="720"/>
      <c r="P21" s="720"/>
      <c r="Q21" s="720"/>
      <c r="R21" s="720"/>
      <c r="S21" s="720"/>
      <c r="T21" s="721"/>
      <c r="U21" s="71"/>
      <c r="V21" s="464"/>
      <c r="W21" s="481"/>
      <c r="X21" s="464"/>
      <c r="Y21" s="522"/>
      <c r="Z21" s="522"/>
      <c r="AA21" s="522"/>
      <c r="AB21" s="522"/>
    </row>
    <row r="22" spans="1:28" ht="108.75" customHeight="1" x14ac:dyDescent="0.25">
      <c r="A22" s="646" t="s">
        <v>51</v>
      </c>
      <c r="B22" s="7">
        <f>IF(  AND(ISNUMBER(C22),OR(ISNUMBER(D22),D22="PG")),IF(IF(Capa!$B$6="B",0,Capa!$B$6)&gt;=C22,1,0),"")</f>
        <v>0</v>
      </c>
      <c r="C22" s="12">
        <f t="shared" si="0"/>
        <v>2</v>
      </c>
      <c r="D22" s="647">
        <v>9</v>
      </c>
      <c r="E22" s="352" t="s">
        <v>66</v>
      </c>
      <c r="F22" s="513"/>
      <c r="G22" s="468"/>
      <c r="H22" s="241"/>
      <c r="I22" s="29"/>
      <c r="J22" s="425">
        <f t="shared" si="1"/>
        <v>0</v>
      </c>
      <c r="K22" s="471"/>
      <c r="L22" s="697" t="str">
        <f t="shared" si="2"/>
        <v/>
      </c>
      <c r="M22" s="719"/>
      <c r="N22" s="720"/>
      <c r="O22" s="720"/>
      <c r="P22" s="720"/>
      <c r="Q22" s="720"/>
      <c r="R22" s="720"/>
      <c r="S22" s="720"/>
      <c r="T22" s="721"/>
      <c r="U22" s="71"/>
      <c r="V22" s="464"/>
      <c r="W22" s="481"/>
      <c r="X22" s="680"/>
      <c r="Y22" s="522"/>
      <c r="Z22" s="522"/>
      <c r="AA22" s="522"/>
      <c r="AB22" s="522"/>
    </row>
    <row r="23" spans="1:28" ht="75" x14ac:dyDescent="0.25">
      <c r="A23" s="646" t="s">
        <v>51</v>
      </c>
      <c r="B23" s="7">
        <f>IF(  AND(ISNUMBER(C23),OR(ISNUMBER(D23),D23="PG")),IF(IF(Capa!$B$6="B",0,Capa!$B$6)&gt;=C23,1,0),"")</f>
        <v>0</v>
      </c>
      <c r="C23" s="12">
        <f t="shared" si="0"/>
        <v>2</v>
      </c>
      <c r="D23" s="647">
        <v>10</v>
      </c>
      <c r="E23" s="352" t="s">
        <v>67</v>
      </c>
      <c r="F23" s="513"/>
      <c r="G23" s="468"/>
      <c r="H23" s="241"/>
      <c r="I23" s="29"/>
      <c r="J23" s="425">
        <f t="shared" si="1"/>
        <v>0</v>
      </c>
      <c r="K23" s="471"/>
      <c r="L23" s="697" t="str">
        <f t="shared" si="2"/>
        <v/>
      </c>
      <c r="M23" s="719"/>
      <c r="N23" s="720"/>
      <c r="O23" s="720"/>
      <c r="P23" s="720"/>
      <c r="Q23" s="720"/>
      <c r="R23" s="720"/>
      <c r="S23" s="720"/>
      <c r="T23" s="721"/>
      <c r="U23" s="71"/>
      <c r="V23" s="464"/>
      <c r="W23" s="481"/>
      <c r="X23" s="464"/>
      <c r="Y23" s="522"/>
      <c r="Z23" s="522"/>
      <c r="AA23" s="522"/>
      <c r="AB23" s="522"/>
    </row>
    <row r="24" spans="1:28" ht="30" x14ac:dyDescent="0.25">
      <c r="A24" s="646" t="s">
        <v>51</v>
      </c>
      <c r="B24" s="7">
        <f>IF(  AND(ISNUMBER(C24),OR(ISNUMBER(D24),D24="PG")),IF(IF(Capa!$B$6="B",0,Capa!$B$6)&gt;=C24,1,0),"")</f>
        <v>0</v>
      </c>
      <c r="C24" s="12">
        <f t="shared" si="0"/>
        <v>2</v>
      </c>
      <c r="D24" s="647">
        <v>11</v>
      </c>
      <c r="E24" s="352" t="s">
        <v>68</v>
      </c>
      <c r="F24" s="513"/>
      <c r="G24" s="468"/>
      <c r="H24" s="241"/>
      <c r="I24" s="29"/>
      <c r="J24" s="425">
        <f t="shared" si="1"/>
        <v>0</v>
      </c>
      <c r="K24" s="471"/>
      <c r="L24" s="697" t="str">
        <f t="shared" si="2"/>
        <v/>
      </c>
      <c r="M24" s="719"/>
      <c r="N24" s="720"/>
      <c r="O24" s="720"/>
      <c r="P24" s="720"/>
      <c r="Q24" s="720"/>
      <c r="R24" s="720"/>
      <c r="S24" s="720"/>
      <c r="T24" s="721"/>
      <c r="U24" s="71"/>
      <c r="V24" s="464"/>
      <c r="W24" s="481"/>
      <c r="X24" s="464"/>
      <c r="Y24" s="522"/>
      <c r="Z24" s="522"/>
      <c r="AA24" s="522"/>
      <c r="AB24" s="522"/>
    </row>
    <row r="25" spans="1:28" ht="28.35" customHeight="1" x14ac:dyDescent="0.25">
      <c r="A25" s="646" t="s">
        <v>51</v>
      </c>
      <c r="B25" s="7">
        <f>IF(  AND(ISNUMBER(C25),OR(ISNUMBER(D25),D25="PG")),IF(IF(Capa!$B$6="B",0,Capa!$B$6)&gt;=C25,1,0),"")</f>
        <v>0</v>
      </c>
      <c r="C25" s="12">
        <f t="shared" si="0"/>
        <v>2</v>
      </c>
      <c r="D25" s="647">
        <v>12</v>
      </c>
      <c r="E25" s="411" t="s">
        <v>69</v>
      </c>
      <c r="F25" s="513"/>
      <c r="G25" s="468"/>
      <c r="H25" s="241"/>
      <c r="I25" s="29"/>
      <c r="J25" s="425">
        <f t="shared" si="1"/>
        <v>0</v>
      </c>
      <c r="K25" s="471"/>
      <c r="L25" s="697" t="str">
        <f t="shared" si="2"/>
        <v/>
      </c>
      <c r="M25" s="719"/>
      <c r="N25" s="720"/>
      <c r="O25" s="720"/>
      <c r="P25" s="720"/>
      <c r="Q25" s="720"/>
      <c r="R25" s="720"/>
      <c r="S25" s="720"/>
      <c r="T25" s="721"/>
      <c r="U25" s="71"/>
      <c r="V25" s="464"/>
      <c r="W25" s="481"/>
      <c r="X25" s="464"/>
      <c r="Y25" s="522"/>
      <c r="Z25" s="522"/>
      <c r="AA25" s="522"/>
      <c r="AB25" s="522"/>
    </row>
    <row r="26" spans="1:28" ht="7.35" customHeight="1" x14ac:dyDescent="0.25">
      <c r="A26" s="646" t="s">
        <v>51</v>
      </c>
      <c r="B26" s="7" t="str">
        <f>IF(  AND(ISNUMBER(C26),OR(ISNUMBER(D26),D26="PG")),IF(IF(Capa!$B$6="B",0,Capa!$B$6)&gt;=C26,1,0),"")</f>
        <v/>
      </c>
      <c r="C26" s="12">
        <f t="shared" si="0"/>
        <v>3</v>
      </c>
      <c r="D26" s="647" t="s">
        <v>70</v>
      </c>
      <c r="E26" s="352"/>
      <c r="F26" s="513"/>
      <c r="G26" s="468"/>
      <c r="H26" s="241"/>
      <c r="I26" s="29"/>
      <c r="J26" s="239"/>
      <c r="K26" s="471"/>
      <c r="L26" s="697" t="str">
        <f t="shared" si="2"/>
        <v/>
      </c>
      <c r="M26" s="719"/>
      <c r="N26" s="720"/>
      <c r="O26" s="720"/>
      <c r="P26" s="720"/>
      <c r="Q26" s="720"/>
      <c r="R26" s="720"/>
      <c r="S26" s="720"/>
      <c r="T26" s="721"/>
      <c r="U26" s="71"/>
      <c r="V26" s="464"/>
      <c r="W26" s="481"/>
      <c r="X26" s="464"/>
      <c r="Y26" s="522"/>
      <c r="Z26" s="522"/>
      <c r="AA26" s="522"/>
      <c r="AB26" s="522"/>
    </row>
    <row r="27" spans="1:28" ht="30" x14ac:dyDescent="0.25">
      <c r="A27" s="646" t="s">
        <v>51</v>
      </c>
      <c r="B27" s="7">
        <f>IF(  AND(ISNUMBER(C27),OR(ISNUMBER(D27),D27="PG")),IF(IF(Capa!$B$6="B",0,Capa!$B$6)&gt;=C27,1,0),"")</f>
        <v>0</v>
      </c>
      <c r="C27" s="12">
        <f t="shared" si="0"/>
        <v>3</v>
      </c>
      <c r="D27" s="647">
        <v>13</v>
      </c>
      <c r="E27" s="397" t="s">
        <v>71</v>
      </c>
      <c r="F27" s="513"/>
      <c r="G27" s="468"/>
      <c r="H27" s="241"/>
      <c r="I27" s="29"/>
      <c r="J27" s="425">
        <f t="shared" si="1"/>
        <v>0</v>
      </c>
      <c r="K27" s="471"/>
      <c r="L27" s="697" t="str">
        <f t="shared" si="2"/>
        <v/>
      </c>
      <c r="M27" s="719"/>
      <c r="N27" s="720"/>
      <c r="O27" s="720"/>
      <c r="P27" s="720"/>
      <c r="Q27" s="720"/>
      <c r="R27" s="720"/>
      <c r="S27" s="720"/>
      <c r="T27" s="721"/>
      <c r="U27" s="71"/>
      <c r="V27" s="464"/>
      <c r="W27" s="481"/>
      <c r="X27" s="464"/>
      <c r="Y27" s="522"/>
      <c r="Z27" s="522"/>
      <c r="AA27" s="522"/>
      <c r="AB27" s="522"/>
    </row>
    <row r="28" spans="1:28" ht="45" x14ac:dyDescent="0.25">
      <c r="A28" s="646" t="s">
        <v>51</v>
      </c>
      <c r="B28" s="7">
        <f>IF(  AND(ISNUMBER(C28),OR(ISNUMBER(D28),D28="PG")),IF(IF(Capa!$B$6="B",0,Capa!$B$6)&gt;=C28,1,0),"")</f>
        <v>0</v>
      </c>
      <c r="C28" s="12">
        <f t="shared" si="0"/>
        <v>3</v>
      </c>
      <c r="D28" s="647">
        <v>14</v>
      </c>
      <c r="E28" s="352" t="s">
        <v>72</v>
      </c>
      <c r="F28" s="513"/>
      <c r="G28" s="468"/>
      <c r="H28" s="241"/>
      <c r="I28" s="29"/>
      <c r="J28" s="425">
        <f t="shared" si="1"/>
        <v>0</v>
      </c>
      <c r="K28" s="471"/>
      <c r="L28" s="697" t="str">
        <f t="shared" si="2"/>
        <v/>
      </c>
      <c r="M28" s="719"/>
      <c r="N28" s="720"/>
      <c r="O28" s="720"/>
      <c r="P28" s="720"/>
      <c r="Q28" s="720"/>
      <c r="R28" s="720"/>
      <c r="S28" s="720"/>
      <c r="T28" s="721"/>
      <c r="U28" s="71"/>
      <c r="V28" s="464"/>
      <c r="W28" s="481"/>
      <c r="X28" s="464"/>
      <c r="Y28" s="522"/>
      <c r="Z28" s="522"/>
      <c r="AA28" s="522"/>
      <c r="AB28" s="522"/>
    </row>
    <row r="29" spans="1:28" ht="45" x14ac:dyDescent="0.25">
      <c r="A29" s="646" t="s">
        <v>51</v>
      </c>
      <c r="B29" s="7">
        <f>IF(  AND(ISNUMBER(C29),OR(ISNUMBER(D29),D29="PG")),IF(IF(Capa!$B$6="B",0,Capa!$B$6)&gt;=C29,1,0),"")</f>
        <v>0</v>
      </c>
      <c r="C29" s="12">
        <f t="shared" si="0"/>
        <v>3</v>
      </c>
      <c r="D29" s="649">
        <v>15</v>
      </c>
      <c r="E29" s="412" t="s">
        <v>73</v>
      </c>
      <c r="F29" s="513"/>
      <c r="G29" s="468"/>
      <c r="H29" s="241"/>
      <c r="I29" s="29"/>
      <c r="J29" s="425">
        <f t="shared" si="1"/>
        <v>0</v>
      </c>
      <c r="K29" s="471"/>
      <c r="L29" s="697" t="str">
        <f t="shared" si="2"/>
        <v/>
      </c>
      <c r="M29" s="719"/>
      <c r="N29" s="720"/>
      <c r="O29" s="720"/>
      <c r="P29" s="720"/>
      <c r="Q29" s="720"/>
      <c r="R29" s="720"/>
      <c r="S29" s="720"/>
      <c r="T29" s="721"/>
      <c r="U29" s="71"/>
      <c r="V29" s="464"/>
      <c r="W29" s="481"/>
      <c r="X29" s="464"/>
      <c r="Y29" s="522"/>
      <c r="Z29" s="522"/>
      <c r="AA29" s="522"/>
      <c r="AB29" s="522"/>
    </row>
    <row r="30" spans="1:28" ht="5.85" customHeight="1" x14ac:dyDescent="0.25">
      <c r="B30" s="7" t="str">
        <f>IF(  AND(ISNUMBER(C30),OR(ISNUMBER(D30),D30="PG")),IF(IF(Capa!$B$6="B",0,Capa!$B$6)&gt;=C30,1,0),"")</f>
        <v/>
      </c>
      <c r="C30" s="12" t="str">
        <f t="shared" si="0"/>
        <v/>
      </c>
      <c r="D30" s="225"/>
      <c r="E30" s="226"/>
      <c r="F30" s="123"/>
      <c r="G30" s="227"/>
      <c r="H30" s="227"/>
      <c r="I30" s="123"/>
      <c r="J30" s="227"/>
      <c r="K30" s="692"/>
      <c r="L30" s="697" t="str">
        <f t="shared" si="2"/>
        <v/>
      </c>
      <c r="M30" s="119"/>
      <c r="N30" s="119"/>
      <c r="O30" s="119"/>
      <c r="P30" s="119"/>
      <c r="Q30" s="119"/>
      <c r="R30" s="119"/>
      <c r="S30" s="229"/>
      <c r="T30" s="229"/>
      <c r="U30" s="454"/>
      <c r="V30" s="464"/>
      <c r="W30" s="121"/>
      <c r="X30" s="465"/>
      <c r="Y30" s="465"/>
      <c r="Z30" s="465"/>
      <c r="AA30" s="465"/>
      <c r="AB30" s="465"/>
    </row>
    <row r="31" spans="1:28" ht="22.35" customHeight="1" x14ac:dyDescent="0.25">
      <c r="A31" s="210" t="s">
        <v>74</v>
      </c>
      <c r="B31" s="7" t="str">
        <f>IF(  AND(ISNUMBER(C31),OR(ISNUMBER(D31),D31="PG")),IF(IF(Capa!$B$6="B",0,Capa!$B$6)&gt;=C31,1,0),"")</f>
        <v/>
      </c>
      <c r="C31" s="12" t="str">
        <f t="shared" si="0"/>
        <v/>
      </c>
      <c r="D31" s="217"/>
      <c r="E31" s="387" t="s">
        <v>75</v>
      </c>
      <c r="F31" s="519"/>
      <c r="G31" s="497"/>
      <c r="H31" s="236"/>
      <c r="I31" s="33"/>
      <c r="J31" s="219"/>
      <c r="K31" s="497"/>
      <c r="L31" s="698" t="str">
        <f t="shared" si="2"/>
        <v/>
      </c>
      <c r="M31" s="380"/>
      <c r="N31" s="70"/>
      <c r="O31" s="68"/>
      <c r="P31" s="68"/>
      <c r="Q31" s="83" t="str">
        <f>IF(L31="","",MIN(IF(ISBLANK(Q33),0,Q33),IF(L31&gt;0.9,4,IF(L31&gt;0.5,3,IF(L31&gt;0.3,2,IF(OR(L31&gt;0,Q33&gt;0),1,0))))))</f>
        <v/>
      </c>
      <c r="R31" s="68"/>
      <c r="S31" s="68"/>
      <c r="T31" s="68"/>
      <c r="U31" s="68"/>
      <c r="V31" s="464"/>
      <c r="W31" s="479"/>
      <c r="X31" s="580"/>
      <c r="Y31" s="579"/>
      <c r="Z31" s="579"/>
      <c r="AA31" s="579"/>
      <c r="AB31" s="579"/>
    </row>
    <row r="32" spans="1:28" ht="5.45" customHeight="1" x14ac:dyDescent="0.25">
      <c r="A32" s="210" t="s">
        <v>74</v>
      </c>
      <c r="B32" s="7" t="str">
        <f>IF(  AND(ISNUMBER(C32),OR(ISNUMBER(D32),D32="PG")),IF(IF(Capa!$B$6="B",0,Capa!$B$6)&gt;=C32,1,0),"")</f>
        <v/>
      </c>
      <c r="C32" s="12">
        <f t="shared" si="0"/>
        <v>1</v>
      </c>
      <c r="D32" s="5" t="s">
        <v>62</v>
      </c>
      <c r="E32" s="391"/>
      <c r="F32" s="513"/>
      <c r="G32" s="499"/>
      <c r="H32" s="213"/>
      <c r="I32" s="35"/>
      <c r="J32" s="213"/>
      <c r="K32" s="506"/>
      <c r="L32" s="697" t="str">
        <f t="shared" si="2"/>
        <v/>
      </c>
      <c r="M32" s="112"/>
      <c r="N32" s="112"/>
      <c r="O32" s="112"/>
      <c r="P32" s="112"/>
      <c r="Q32" s="112"/>
      <c r="R32" s="112"/>
      <c r="S32" s="250"/>
      <c r="T32" s="250"/>
      <c r="U32" s="456"/>
      <c r="V32" s="464"/>
      <c r="W32" s="485"/>
      <c r="X32" s="464"/>
      <c r="Y32" s="522"/>
      <c r="Z32" s="522"/>
      <c r="AA32" s="522"/>
      <c r="AB32" s="522"/>
    </row>
    <row r="33" spans="1:28" ht="76.5" x14ac:dyDescent="0.25">
      <c r="A33" s="646" t="s">
        <v>74</v>
      </c>
      <c r="B33" s="7">
        <f>IF(  AND(ISNUMBER(C33),OR(ISNUMBER(D33),D33="PG")),IF(IF(Capa!$B$6="B",0,Capa!$B$6)&gt;=C33,1,0),"")</f>
        <v>0</v>
      </c>
      <c r="C33" s="12">
        <f t="shared" si="0"/>
        <v>1</v>
      </c>
      <c r="D33" s="647" t="s">
        <v>54</v>
      </c>
      <c r="E33" s="389" t="s">
        <v>76</v>
      </c>
      <c r="F33" s="513"/>
      <c r="G33" s="468"/>
      <c r="H33" s="241"/>
      <c r="I33" s="29"/>
      <c r="J33" s="239"/>
      <c r="K33" s="471"/>
      <c r="L33" s="697" t="str">
        <f>IF(OR(AND(NOT(ISBLANK(M33)),M33&lt;IF(Capa!$B$6&lt;&gt;"B",Capa!$B$6+1,1)),AND(NOT(ISBLANK(N33)),N33&lt;IF(Capa!$B$6&lt;&gt;"B",Capa!$B$6+1,1)),AND(NOT(ISBLANK(O33)),O33&lt;IF(Capa!$B$6&lt;&gt;"B",Capa!$B$6+1,1)),AND(NOT(ISBLANK(Q33)),Q33&lt;IF(Capa!$B$6&lt;&gt;"B",Capa!$B$6+1,1)),AND(NOT(ISBLANK(R33)),R33&lt;IF(Capa!$B$6&lt;&gt;"B",Capa!$B$6+1,1)),AND(NOT(ISBLANK(S33)),S33&lt;IF(Capa!$B$6&lt;&gt;"B",Capa!$B$6+1,1))),1,"")</f>
        <v/>
      </c>
      <c r="M33" s="81"/>
      <c r="N33" s="81"/>
      <c r="O33" s="81"/>
      <c r="P33" s="81"/>
      <c r="Q33" s="81"/>
      <c r="R33" s="81"/>
      <c r="S33" s="81"/>
      <c r="T33" s="81"/>
      <c r="U33" s="58"/>
      <c r="V33" s="464"/>
      <c r="W33" s="481"/>
      <c r="X33" s="464"/>
      <c r="Y33" s="522"/>
      <c r="Z33" s="522"/>
      <c r="AA33" s="522"/>
      <c r="AB33" s="522"/>
    </row>
    <row r="34" spans="1:28" ht="30" x14ac:dyDescent="0.25">
      <c r="A34" s="646" t="s">
        <v>74</v>
      </c>
      <c r="B34" s="7">
        <f>IF(  AND(ISNUMBER(C34),OR(ISNUMBER(D34),D34="PG")),IF(IF(Capa!$B$6="B",0,Capa!$B$6)&gt;=C34,1,0),"")</f>
        <v>0</v>
      </c>
      <c r="C34" s="12">
        <f t="shared" si="0"/>
        <v>1</v>
      </c>
      <c r="D34" s="647">
        <v>16</v>
      </c>
      <c r="E34" s="352" t="s">
        <v>77</v>
      </c>
      <c r="F34" s="513"/>
      <c r="G34" s="468"/>
      <c r="H34" s="241"/>
      <c r="I34" s="29"/>
      <c r="J34" s="425">
        <f t="shared" ref="J34:J41" si="3">LEN(K34)</f>
        <v>0</v>
      </c>
      <c r="K34" s="471"/>
      <c r="L34" s="697" t="str">
        <f t="shared" si="2"/>
        <v/>
      </c>
      <c r="M34" s="719"/>
      <c r="N34" s="720"/>
      <c r="O34" s="720"/>
      <c r="P34" s="720"/>
      <c r="Q34" s="720"/>
      <c r="R34" s="720"/>
      <c r="S34" s="720"/>
      <c r="T34" s="721"/>
      <c r="U34" s="71"/>
      <c r="V34" s="464"/>
      <c r="W34" s="481"/>
      <c r="X34" s="464"/>
      <c r="Y34" s="522"/>
      <c r="Z34" s="522"/>
      <c r="AA34" s="522"/>
      <c r="AB34" s="522"/>
    </row>
    <row r="35" spans="1:28" ht="33" customHeight="1" x14ac:dyDescent="0.25">
      <c r="A35" s="646" t="s">
        <v>74</v>
      </c>
      <c r="B35" s="7">
        <f>IF(  AND(ISNUMBER(C35),OR(ISNUMBER(D35),D35="PG")),IF(IF(Capa!$B$6="B",0,Capa!$B$6)&gt;=C35,1,0),"")</f>
        <v>0</v>
      </c>
      <c r="C35" s="12">
        <f t="shared" si="0"/>
        <v>1</v>
      </c>
      <c r="D35" s="647">
        <v>17</v>
      </c>
      <c r="E35" s="352" t="s">
        <v>78</v>
      </c>
      <c r="F35" s="513"/>
      <c r="G35" s="468"/>
      <c r="H35" s="241"/>
      <c r="I35" s="29"/>
      <c r="J35" s="425">
        <f t="shared" si="3"/>
        <v>0</v>
      </c>
      <c r="K35" s="471"/>
      <c r="L35" s="697" t="str">
        <f t="shared" si="2"/>
        <v/>
      </c>
      <c r="M35" s="719"/>
      <c r="N35" s="720"/>
      <c r="O35" s="720"/>
      <c r="P35" s="720"/>
      <c r="Q35" s="720"/>
      <c r="R35" s="720"/>
      <c r="S35" s="720"/>
      <c r="T35" s="721"/>
      <c r="U35" s="71"/>
      <c r="V35" s="464"/>
      <c r="W35" s="481"/>
      <c r="X35" s="464"/>
      <c r="Y35" s="522"/>
      <c r="Z35" s="522"/>
      <c r="AA35" s="522"/>
      <c r="AB35" s="522"/>
    </row>
    <row r="36" spans="1:28" ht="5.45" customHeight="1" x14ac:dyDescent="0.25">
      <c r="A36" s="646" t="s">
        <v>74</v>
      </c>
      <c r="B36" s="7" t="str">
        <f>IF(  AND(ISNUMBER(C36),OR(ISNUMBER(D36),D36="PG")),IF(IF(Capa!$B$6="B",0,Capa!$B$6)&gt;=C36,1,0),"")</f>
        <v/>
      </c>
      <c r="C36" s="12">
        <f t="shared" si="0"/>
        <v>2</v>
      </c>
      <c r="D36" s="647" t="s">
        <v>64</v>
      </c>
      <c r="E36" s="352"/>
      <c r="F36" s="513"/>
      <c r="G36" s="468"/>
      <c r="H36" s="241"/>
      <c r="I36" s="29"/>
      <c r="J36" s="239"/>
      <c r="K36" s="471"/>
      <c r="L36" s="697" t="str">
        <f t="shared" si="2"/>
        <v/>
      </c>
      <c r="M36" s="719"/>
      <c r="N36" s="720"/>
      <c r="O36" s="720"/>
      <c r="P36" s="720"/>
      <c r="Q36" s="720"/>
      <c r="R36" s="720"/>
      <c r="S36" s="720"/>
      <c r="T36" s="721"/>
      <c r="U36" s="71"/>
      <c r="V36" s="464"/>
      <c r="W36" s="481"/>
      <c r="X36" s="464"/>
      <c r="Y36" s="522"/>
      <c r="Z36" s="522"/>
      <c r="AA36" s="522"/>
      <c r="AB36" s="522"/>
    </row>
    <row r="37" spans="1:28" ht="45" x14ac:dyDescent="0.25">
      <c r="A37" s="646" t="s">
        <v>74</v>
      </c>
      <c r="B37" s="7">
        <f>IF(  AND(ISNUMBER(C37),OR(ISNUMBER(D37),D37="PG")),IF(IF(Capa!$B$6="B",0,Capa!$B$6)&gt;=C37,1,0),"")</f>
        <v>0</v>
      </c>
      <c r="C37" s="12">
        <f t="shared" si="0"/>
        <v>2</v>
      </c>
      <c r="D37" s="647">
        <v>18</v>
      </c>
      <c r="E37" s="352" t="s">
        <v>79</v>
      </c>
      <c r="F37" s="513"/>
      <c r="G37" s="468"/>
      <c r="H37" s="241"/>
      <c r="I37" s="29"/>
      <c r="J37" s="425">
        <f t="shared" si="3"/>
        <v>0</v>
      </c>
      <c r="K37" s="471"/>
      <c r="L37" s="697" t="str">
        <f t="shared" si="2"/>
        <v/>
      </c>
      <c r="M37" s="719"/>
      <c r="N37" s="720"/>
      <c r="O37" s="720"/>
      <c r="P37" s="720"/>
      <c r="Q37" s="720"/>
      <c r="R37" s="720"/>
      <c r="S37" s="720"/>
      <c r="T37" s="721"/>
      <c r="U37" s="71"/>
      <c r="V37" s="464"/>
      <c r="W37" s="481"/>
      <c r="X37" s="464"/>
      <c r="Y37" s="522"/>
      <c r="Z37" s="522"/>
      <c r="AA37" s="522"/>
      <c r="AB37" s="522"/>
    </row>
    <row r="38" spans="1:28" ht="45" x14ac:dyDescent="0.25">
      <c r="A38" s="646" t="s">
        <v>74</v>
      </c>
      <c r="B38" s="7">
        <f>IF(  AND(ISNUMBER(C38),OR(ISNUMBER(D38),D38="PG")),IF(IF(Capa!$B$6="B",0,Capa!$B$6)&gt;=C38,1,0),"")</f>
        <v>0</v>
      </c>
      <c r="C38" s="12">
        <f t="shared" si="0"/>
        <v>2</v>
      </c>
      <c r="D38" s="647">
        <v>19</v>
      </c>
      <c r="E38" s="352" t="s">
        <v>80</v>
      </c>
      <c r="F38" s="513"/>
      <c r="G38" s="468"/>
      <c r="H38" s="241"/>
      <c r="I38" s="29"/>
      <c r="J38" s="425">
        <f t="shared" si="3"/>
        <v>0</v>
      </c>
      <c r="K38" s="471"/>
      <c r="L38" s="697" t="str">
        <f t="shared" si="2"/>
        <v/>
      </c>
      <c r="M38" s="719"/>
      <c r="N38" s="720"/>
      <c r="O38" s="720"/>
      <c r="P38" s="720"/>
      <c r="Q38" s="720"/>
      <c r="R38" s="720"/>
      <c r="S38" s="720"/>
      <c r="T38" s="721"/>
      <c r="U38" s="71"/>
      <c r="V38" s="464"/>
      <c r="W38" s="481"/>
      <c r="X38" s="464"/>
      <c r="Y38" s="522"/>
      <c r="Z38" s="522"/>
      <c r="AA38" s="522"/>
      <c r="AB38" s="522"/>
    </row>
    <row r="39" spans="1:28" ht="7.35" customHeight="1" x14ac:dyDescent="0.25">
      <c r="A39" s="646" t="s">
        <v>74</v>
      </c>
      <c r="B39" s="7" t="str">
        <f>IF(  AND(ISNUMBER(C39),OR(ISNUMBER(D39),D39="PG")),IF(IF(Capa!$B$6="B",0,Capa!$B$6)&gt;=C39,1,0),"")</f>
        <v/>
      </c>
      <c r="C39" s="12">
        <f t="shared" si="0"/>
        <v>3</v>
      </c>
      <c r="D39" s="647" t="s">
        <v>70</v>
      </c>
      <c r="E39" s="352"/>
      <c r="F39" s="513"/>
      <c r="G39" s="468"/>
      <c r="H39" s="241"/>
      <c r="I39" s="29"/>
      <c r="J39" s="239"/>
      <c r="K39" s="471"/>
      <c r="L39" s="697" t="str">
        <f t="shared" si="2"/>
        <v/>
      </c>
      <c r="M39" s="719"/>
      <c r="N39" s="720"/>
      <c r="O39" s="720"/>
      <c r="P39" s="720"/>
      <c r="Q39" s="720"/>
      <c r="R39" s="720"/>
      <c r="S39" s="720"/>
      <c r="T39" s="721"/>
      <c r="U39" s="71"/>
      <c r="V39" s="464"/>
      <c r="W39" s="481"/>
      <c r="X39" s="464"/>
      <c r="Y39" s="522"/>
      <c r="Z39" s="522"/>
      <c r="AA39" s="522"/>
      <c r="AB39" s="522"/>
    </row>
    <row r="40" spans="1:28" ht="45" x14ac:dyDescent="0.25">
      <c r="A40" s="646" t="s">
        <v>74</v>
      </c>
      <c r="B40" s="7">
        <f>IF(  AND(ISNUMBER(C40),OR(ISNUMBER(D40),D40="PG")),IF(IF(Capa!$B$6="B",0,Capa!$B$6)&gt;=C40,1,0),"")</f>
        <v>0</v>
      </c>
      <c r="C40" s="12">
        <f t="shared" si="0"/>
        <v>3</v>
      </c>
      <c r="D40" s="647">
        <v>20</v>
      </c>
      <c r="E40" s="352" t="s">
        <v>81</v>
      </c>
      <c r="F40" s="513"/>
      <c r="G40" s="468"/>
      <c r="H40" s="241"/>
      <c r="I40" s="29"/>
      <c r="J40" s="425">
        <f t="shared" ref="J40" si="4">LEN(K40)</f>
        <v>0</v>
      </c>
      <c r="K40" s="471"/>
      <c r="L40" s="697" t="str">
        <f t="shared" si="2"/>
        <v/>
      </c>
      <c r="M40" s="719"/>
      <c r="N40" s="720"/>
      <c r="O40" s="720"/>
      <c r="P40" s="720"/>
      <c r="Q40" s="720"/>
      <c r="R40" s="720"/>
      <c r="S40" s="720"/>
      <c r="T40" s="721"/>
      <c r="U40" s="71"/>
      <c r="V40" s="464"/>
      <c r="W40" s="481"/>
      <c r="X40" s="464"/>
      <c r="Y40" s="522"/>
      <c r="Z40" s="522"/>
      <c r="AA40" s="522"/>
      <c r="AB40" s="522"/>
    </row>
    <row r="41" spans="1:28" ht="60" x14ac:dyDescent="0.25">
      <c r="A41" s="646" t="s">
        <v>74</v>
      </c>
      <c r="B41" s="7">
        <f>IF(  AND(ISNUMBER(C41),OR(ISNUMBER(D41),D41="PG")),IF(IF(Capa!$B$6="B",0,Capa!$B$6)&gt;=C41,1,0),"")</f>
        <v>0</v>
      </c>
      <c r="C41" s="12">
        <f t="shared" si="0"/>
        <v>3</v>
      </c>
      <c r="D41" s="647">
        <v>21</v>
      </c>
      <c r="E41" s="352" t="s">
        <v>82</v>
      </c>
      <c r="F41" s="513"/>
      <c r="G41" s="468"/>
      <c r="H41" s="241"/>
      <c r="I41" s="29"/>
      <c r="J41" s="425">
        <f t="shared" si="3"/>
        <v>0</v>
      </c>
      <c r="K41" s="471"/>
      <c r="L41" s="697" t="str">
        <f t="shared" si="2"/>
        <v/>
      </c>
      <c r="M41" s="719"/>
      <c r="N41" s="720"/>
      <c r="O41" s="720"/>
      <c r="P41" s="720"/>
      <c r="Q41" s="720"/>
      <c r="R41" s="720"/>
      <c r="S41" s="720"/>
      <c r="T41" s="721"/>
      <c r="U41" s="71"/>
      <c r="V41" s="464"/>
      <c r="W41" s="481"/>
      <c r="X41" s="464"/>
      <c r="Y41" s="522"/>
      <c r="Z41" s="522"/>
      <c r="AA41" s="522"/>
      <c r="AB41" s="522"/>
    </row>
    <row r="42" spans="1:28" ht="5.85" customHeight="1" x14ac:dyDescent="0.25">
      <c r="B42" s="7" t="str">
        <f>IF(  AND(ISNUMBER(C42),OR(ISNUMBER(D42),D42="PG")),IF(IF(Capa!$B$6="B",0,Capa!$B$6)&gt;=C42,1,0),"")</f>
        <v/>
      </c>
      <c r="C42" s="12" t="str">
        <f t="shared" si="0"/>
        <v/>
      </c>
      <c r="D42" s="225"/>
      <c r="E42" s="226"/>
      <c r="F42" s="123"/>
      <c r="G42" s="227"/>
      <c r="H42" s="227"/>
      <c r="I42" s="123"/>
      <c r="J42" s="227"/>
      <c r="K42" s="692"/>
      <c r="L42" s="227"/>
      <c r="M42" s="119"/>
      <c r="N42" s="119"/>
      <c r="O42" s="119"/>
      <c r="P42" s="119"/>
      <c r="Q42" s="119"/>
      <c r="R42" s="119"/>
      <c r="S42" s="229"/>
      <c r="T42" s="229"/>
      <c r="U42" s="454"/>
      <c r="V42" s="642"/>
      <c r="W42" s="121"/>
      <c r="X42" s="465"/>
      <c r="Y42" s="465"/>
      <c r="Z42" s="465"/>
      <c r="AA42" s="465"/>
      <c r="AB42" s="465"/>
    </row>
    <row r="43" spans="1:28" ht="25.5" x14ac:dyDescent="0.25">
      <c r="A43" s="210" t="s">
        <v>83</v>
      </c>
      <c r="B43" s="7" t="str">
        <f>IF(  AND(ISNUMBER(C43),OR(ISNUMBER(D43),D43="PG")),IF(IF(Capa!$B$6="B",0,Capa!$B$6)&gt;=C43,1,0),"")</f>
        <v/>
      </c>
      <c r="C43" s="12" t="str">
        <f t="shared" si="0"/>
        <v/>
      </c>
      <c r="D43" s="15"/>
      <c r="E43" s="392" t="s">
        <v>84</v>
      </c>
      <c r="F43" s="381">
        <f>IF(COUNTIFS($A$1:$A$238,"="&amp;A43&amp;"?",$B$1:$B$238,"&gt;0",$D$1:$D$238,"&gt;0")&gt;0,(COUNTIFS($A$1:$A$238,"="&amp;A43&amp;"?",$B$1:$B$238,"&gt;0",$D$1:$D$238,"&gt;0",F$1:F$238,"=S")+COUNTIFS($A$1:$A$238,"="&amp;A43&amp;"?",$B$1:$B$238,"&gt;0",$D$1:$D$238,"&gt;0",$F$1:$F$238,"=P")+COUNTIFS($A$1:$A$238,"="&amp;A43&amp;"?",$B$1:$B$238,"&gt;0",$D$1:$D$238,"&gt;0",F$1:F$238,"=N")+COUNTIFS($A$1:$A$238,"="&amp;A43&amp;"?",$B$1:$B$238,"&gt;0",$D$1:$D$238,"&gt;0",F$1:F$238,"=NA"))/COUNTIFS($A$1:$A$238,"="&amp;A43&amp;"?",$B$1:$B$238,"&gt;0",$D$1:$D$238,"&gt;0"),0)</f>
        <v>0</v>
      </c>
      <c r="G43" s="501"/>
      <c r="H43" s="232"/>
      <c r="I43" s="381">
        <f>IF(COUNTIFS($A$1:$A$238,"="&amp;A43&amp;"?",$B$1:$B$238,"&gt;0",$D$1:$D$238,"&gt;0")&gt;0,
        (COUNTIFS($A$1:$A$238,"="&amp;A43&amp;"?",$B$1:$B$238,"&gt;0",$D$1:$D$238,"&gt;0",F$1:F$238,"=S",I$1:I$238,"") +
         (COUNTIFS($A$1:$A$238,"="&amp;A43&amp;"?",$B$1:$B$238,"&gt;0",$D$1:$D$238,"&gt;0",$F$1:$F$238,"=P",I$1:I$238,"")/2) +
         COUNTIFS($A$1:$A$238,"="&amp;A43&amp;"?",$B$1:$B$238,"&gt;0",$D$1:$D$238,"&gt;0",I$1:I$238,"=S") +
         (COUNTIFS($A$1:$A$238,"="&amp;A43&amp;"?",$B$1:$B$238,"&gt;0",$D$1:$D$238,"&gt;0",I$1:I$238,"=P")/2)
         )/COUNTIFS($A$1:$A$238,"="&amp;A43&amp;"?",$B$1:$B$238,"&gt;0",$D$1:$D$238,"&gt;0"),0)</f>
        <v>0</v>
      </c>
      <c r="J43" s="219"/>
      <c r="K43" s="507"/>
      <c r="L43" s="219"/>
      <c r="M43" s="722">
        <f>(M44*20+N44*10+O44*10+Q44*30+R44*15+S44*15)/100</f>
        <v>0</v>
      </c>
      <c r="N43" s="723"/>
      <c r="O43" s="723"/>
      <c r="P43" s="723"/>
      <c r="Q43" s="723"/>
      <c r="R43" s="723"/>
      <c r="S43" s="723"/>
      <c r="T43" s="724"/>
      <c r="U43" s="450"/>
      <c r="V43" s="545"/>
      <c r="W43" s="479"/>
      <c r="X43" s="580"/>
      <c r="Y43" s="579"/>
      <c r="Z43" s="579"/>
      <c r="AA43" s="579"/>
      <c r="AB43" s="579"/>
    </row>
    <row r="44" spans="1:28" ht="15.6" customHeight="1" x14ac:dyDescent="0.25">
      <c r="A44" s="210" t="s">
        <v>83</v>
      </c>
      <c r="B44" s="7" t="str">
        <f>IF(  AND(ISNUMBER(C44),OR(ISNUMBER(D44),D44="PG")),IF(IF(Capa!$B$6="B",0,Capa!$B$6)&gt;=C44,1,0),"")</f>
        <v/>
      </c>
      <c r="C44" s="12" t="str">
        <f t="shared" si="0"/>
        <v/>
      </c>
      <c r="D44" s="110"/>
      <c r="E44" s="393">
        <f>IF(SUMIFS($B$1:$B$238,$A$1:$A$238,"="&amp;A43&amp;"?",B$1:B$238,"&gt;0")&lt;=0,0,COUNTIFS($F$1:$F$238,"*",$A$1:$A$238,"="&amp;A43&amp;"?",B$1:B$238,"&gt;0")/SUMIFS($B$1:$B$238,$A$1:$A$238,"="&amp;A43&amp;"?",B$1:B$238,"&gt;0"))</f>
        <v>0</v>
      </c>
      <c r="F44" s="514"/>
      <c r="G44" s="512"/>
      <c r="H44" s="253"/>
      <c r="I44" s="116"/>
      <c r="J44" s="253"/>
      <c r="K44" s="508"/>
      <c r="L44" s="255"/>
      <c r="M44" s="100">
        <f>(COUNTIFS($A$1:$A$238,"="&amp;$A43&amp;"?",$B$1:$B$238,"&gt;0",$D$1:$D$238,"=PG",M$1:M$238,"=1")*(IF(Capa!$B$6="B",100,IF(Capa!$B$6=1,50,IF(Capa!$B$6=2,33,25))))+COUNTIFS($A$1:$A$238,"="&amp;$A43&amp;"?",$B$1:$B$238,"&gt;0",$D$1:$D$238,"=PG",M$1:M$238,"=2")*(IF(Capa!$B$6="B",100,IF(Capa!$B$6=1,100,IF(Capa!$B$6=2,67,50))))+COUNTIFS($A$1:$A$238,"="&amp;$A43&amp;"?",$B$1:$B$238,"&gt;0",$D$1:$D$238,"=PG",M$1:M$238,"=3")*(IF(Capa!$B$6="B",100,IF(Capa!$B$6=1,100,IF(Capa!$B$6=2,100,75))))+COUNTIFS($A$1:$A$238,"="&amp;$A43&amp;"?",$B$1:$B$238,"&gt;0",$D$1:$D$238,"=PG",M$1:M$238,"=4")*100)/(COUNTIFS($A$1:$A$238,"="&amp;$A43&amp;"?",$B$1:$B$238,"&gt;0",$D$1:$D$238,"=PG")*100)</f>
        <v>0</v>
      </c>
      <c r="N44" s="100">
        <f>(COUNTIFS($A$1:$A$238,"="&amp;$A43&amp;"?",$B$1:$B$238,"&gt;0",$D$1:$D$238,"=PG",N$1:N$238,"=1")*(IF(Capa!$B$6="B",100,IF(Capa!$B$6=1,50,IF(Capa!$B$6=2,33,25))))+COUNTIFS($A$1:$A$238,"="&amp;$A43&amp;"?",$B$1:$B$238,"&gt;0",$D$1:$D$238,"=PG",N$1:N$238,"=2")*(IF(Capa!$B$6="B",100,IF(Capa!$B$6=1,100,IF(Capa!$B$6=2,67,50))))+COUNTIFS($A$1:$A$238,"="&amp;$A43&amp;"?",$B$1:$B$238,"&gt;0",$D$1:$D$238,"=PG",N$1:N$238,"=3")*(IF(Capa!$B$6="B",100,IF(Capa!$B$6=1,100,IF(Capa!$B$6=2,100,75))))+COUNTIFS($A$1:$A$238,"="&amp;$A43&amp;"?",$B$1:$B$238,"&gt;0",$D$1:$D$238,"=PG",N$1:N$238,"=4")*100)/(COUNTIFS($A$1:$A$238,"="&amp;$A43&amp;"?",$B$1:$B$238,"&gt;0",$D$1:$D$238,"=PG")*100)</f>
        <v>0</v>
      </c>
      <c r="O44" s="100">
        <f>(COUNTIFS($A$1:$A$238,"="&amp;$A43&amp;"?",$B$1:$B$238,"&gt;0",$D$1:$D$238,"=PG",O$1:O$238,"=1")*(IF(Capa!$B$6="B",100,IF(Capa!$B$6=1,50,IF(Capa!$B$6=2,33,25))))+COUNTIFS($A$1:$A$238,"="&amp;$A43&amp;"?",$B$1:$B$238,"&gt;0",$D$1:$D$238,"=PG",O$1:O$238,"=2")*(IF(Capa!$B$6="B",100,IF(Capa!$B$6=1,100,IF(Capa!$B$6=2,67,50))))+COUNTIFS($A$1:$A$238,"="&amp;$A43&amp;"?",$B$1:$B$238,"&gt;0",$D$1:$D$238,"=PG",O$1:O$238,"=3")*(IF(Capa!$B$6="B",100,IF(Capa!$B$6=1,100,IF(Capa!$B$6=2,100,75))))+COUNTIFS($A$1:$A$238,"="&amp;$A43&amp;"?",$B$1:$B$238,"&gt;0",$D$1:$D$238,"=PG",O$1:O$238,"=4")*100)/(COUNTIFS($A$1:$A$238,"="&amp;$A43&amp;"?",$B$1:$B$238,"&gt;0",$D$1:$D$238,"=PG")*100)</f>
        <v>0</v>
      </c>
      <c r="P44" s="414">
        <f>P47+P67</f>
        <v>0</v>
      </c>
      <c r="Q44" s="100">
        <f>(COUNTIFS($A$1:$A$238,"="&amp;$A43&amp;"?",$B$1:$B$238,"",$L$1:$L$238,"&gt;=0",Q$1:Q$238,"=1")*(IF(Capa!$B$6="B",100,IF(Capa!$B$6=1,50,IF(Capa!$B$6=2,33,25))))+COUNTIFS($A$1:$A$238,"="&amp;$A43&amp;"?",$B$1:$B$238,"",$L$1:$L$238,"&gt;=0",Q$1:Q$238,"=2")*(IF(Capa!$B$6="B",100,IF(Capa!$B$6=1,100,IF(Capa!$B$6=2,67,50))))+COUNTIFS($A$1:$A$238,"="&amp;$A43&amp;"?",$B$1:$B$238,"",$L$1:$L$238,"&gt;=0",Q$1:Q$238,"=3")*(IF(Capa!$B$6="B",100,IF(Capa!$B$6=1,100,IF(Capa!$B$6=2,100,75))))+COUNTIFS($A$1:$A$238,"="&amp;$A43&amp;"?",$B$1:$B$238,"",$L$1:$L$238,"&gt;=0",Q$1:Q$238,"=4")*100)/(COUNTIFS($A$1:$A$238,"="&amp;$A43&amp;"?",$B$1:$B$238,"",$L$1:$L$238,"&gt;=0")*100)</f>
        <v>0</v>
      </c>
      <c r="R44" s="100">
        <f>(COUNTIFS($A$1:$A$238,"="&amp;$A43&amp;"?",$B$1:$B$238,"&gt;0",$D$1:$D$238,"=PG",R$1:R$238,"=1")*(IF(Capa!$B$6="B",100,IF(Capa!$B$6=1,50,IF(Capa!$B$6=2,33,25))))+COUNTIFS($A$1:$A$238,"="&amp;$A43&amp;"?",$B$1:$B$238,"&gt;0",$D$1:$D$238,"=PG",R$1:R$238,"=2")*(IF(Capa!$B$6="B",100,IF(Capa!$B$6=1,100,IF(Capa!$B$6=2,67,50))))+COUNTIFS($A$1:$A$238,"="&amp;$A43&amp;"?",$B$1:$B$238,"&gt;0",$D$1:$D$238,"=PG",R$1:R$238,"=3")*(IF(Capa!$B$6="B",100,IF(Capa!$B$6=1,100,IF(Capa!$B$6=2,100,75))))+COUNTIFS($A$1:$A$238,"="&amp;$A43&amp;"?",$B$1:$B$238,"&gt;0",$D$1:$D$238,"=PG",R$1:R$238,"=4")*100)/(COUNTIFS($A$1:$A$238,"="&amp;$A43&amp;"?",$B$1:$B$238,"&gt;0",$D$1:$D$238,"=PG")*100)</f>
        <v>0</v>
      </c>
      <c r="S44" s="100">
        <f>(COUNTIFS($A$1:$A$238,"="&amp;$A43&amp;"?",$B$1:$B$238,"&gt;0",$D$1:$D$238,"=PG",S$1:S$238,"=1")*(IF(Capa!$B$6="B",100,IF(Capa!$B$6=1,50,IF(Capa!$B$6=2,33,25))))+COUNTIFS($A$1:$A$238,"="&amp;$A43&amp;"?",$B$1:$B$238,"&gt;0",$D$1:$D$238,"=PG",S$1:S$238,"=2")*(IF(Capa!$B$6="B",100,IF(Capa!$B$6=1,100,IF(Capa!$B$6=2,67,50))))+COUNTIFS($A$1:$A$238,"="&amp;$A43&amp;"?",$B$1:$B$238,"&gt;0",$D$1:$D$238,"=PG",S$1:S$238,"=3")*(IF(Capa!$B$6="B",100,IF(Capa!$B$6=1,100,IF(Capa!$B$6=2,100,75))))+COUNTIFS($A$1:$A$238,"="&amp;$A43&amp;"?",$B$1:$B$238,"&gt;0",$D$1:$D$238,"=PG",S$1:S$238,"=4")*100)/(COUNTIFS($A$1:$A$238,"="&amp;$A43&amp;"?",$B$1:$B$238,"&gt;0",$D$1:$D$238,"=PG")*100)</f>
        <v>0</v>
      </c>
      <c r="T44" s="414">
        <f>T47+T67</f>
        <v>0</v>
      </c>
      <c r="U44" s="453"/>
      <c r="V44" s="596"/>
      <c r="W44" s="486"/>
      <c r="X44" s="464"/>
      <c r="Y44" s="522"/>
      <c r="Z44" s="522"/>
      <c r="AA44" s="522"/>
      <c r="AB44" s="522"/>
    </row>
    <row r="45" spans="1:28" ht="24" customHeight="1" x14ac:dyDescent="0.25">
      <c r="A45" s="210" t="s">
        <v>85</v>
      </c>
      <c r="B45" s="7" t="str">
        <f>IF(  AND(ISNUMBER(C45),OR(ISNUMBER(D45),D45="PG")),IF(IF(Capa!$B$6="B",0,Capa!$B$6)&gt;=C45,1,0),"")</f>
        <v/>
      </c>
      <c r="C45" s="12" t="str">
        <f t="shared" si="0"/>
        <v/>
      </c>
      <c r="D45" s="15"/>
      <c r="E45" s="392" t="s">
        <v>86</v>
      </c>
      <c r="F45" s="515"/>
      <c r="G45" s="500"/>
      <c r="H45" s="219"/>
      <c r="I45" s="32"/>
      <c r="J45" s="219"/>
      <c r="K45" s="507"/>
      <c r="L45" s="383" t="str">
        <f>IF(AND($B47=1,D47="PG"),IF(COUNTIFS($A$1:$A$238,"="&amp;$A45,$B$1:$B$238,"&gt;0",$D$1:$D$238,"&gt;0")&gt;0,
        (COUNTIFS($A$1:$A$238,"="&amp;$A45,$B$1:$B$238,"&gt;0",$D$1:$D$238,"&gt;0",F$1:F$238,"=S",I$1:I$238,"") +
         (COUNTIFS($A$1:$A$238,"="&amp;$A45,$B$1:$B$238,"&gt;0",$D$1:$D$238,"&gt;0",$F$1:$F$238,"=P",I$1:I$238,"")/2) +
         COUNTIFS($A$1:$A$238,"="&amp;$A45,$B$1:$B$238,"&gt;0",$D$1:$D$238,"&gt;0",I$1:I$238,"=S") +
         (COUNTIFS($A$1:$A$238,"="&amp;$A45,$B$1:$B$238,"&gt;0",$D$1:$D$238,"&gt;0",I$1:I$238,"=P")/2)
         )/COUNTIFS($A$1:$A$238,"="&amp;$A45,$B$1:$B$238,"&gt;0",$D$1:$D$238,"&gt;0"),1),"")</f>
        <v/>
      </c>
      <c r="M45" s="380"/>
      <c r="N45" s="70"/>
      <c r="O45" s="68"/>
      <c r="P45" s="68"/>
      <c r="Q45" s="83" t="str">
        <f>IF(L45="","",MIN(IF(ISBLANK(Q47),0,Q47),IF(L45&gt;0.9,4,IF(L45&gt;0.5,3,IF(L45&gt;0.3,2,IF(OR(L45&gt;0,Q47&gt;0),1,0))))))</f>
        <v/>
      </c>
      <c r="R45" s="68"/>
      <c r="S45" s="68"/>
      <c r="T45" s="68"/>
      <c r="U45" s="68"/>
      <c r="V45" s="545"/>
      <c r="W45" s="479"/>
      <c r="X45" s="580"/>
      <c r="Y45" s="579"/>
      <c r="Z45" s="579"/>
      <c r="AA45" s="579"/>
      <c r="AB45" s="579"/>
    </row>
    <row r="46" spans="1:28" ht="6" customHeight="1" x14ac:dyDescent="0.25">
      <c r="A46" s="210" t="s">
        <v>85</v>
      </c>
      <c r="B46" s="7" t="str">
        <f>IF(  AND(ISNUMBER(C46),OR(ISNUMBER(D46),D46="PG")),IF(IF(Capa!$B$6="B",0,Capa!$B$6)&gt;=C46,1,0),"")</f>
        <v/>
      </c>
      <c r="C46" s="12">
        <f t="shared" si="0"/>
        <v>1</v>
      </c>
      <c r="D46" s="13" t="s">
        <v>62</v>
      </c>
      <c r="E46" s="394"/>
      <c r="F46" s="516"/>
      <c r="G46" s="498"/>
      <c r="H46" s="239"/>
      <c r="I46" s="27"/>
      <c r="J46" s="239"/>
      <c r="K46" s="503"/>
      <c r="L46" s="240"/>
      <c r="M46" s="113"/>
      <c r="N46" s="113"/>
      <c r="O46" s="113"/>
      <c r="P46" s="113"/>
      <c r="Q46" s="113"/>
      <c r="R46" s="113"/>
      <c r="S46" s="215"/>
      <c r="T46" s="215"/>
      <c r="U46" s="286"/>
      <c r="V46" s="546"/>
      <c r="W46" s="487"/>
      <c r="X46" s="464"/>
      <c r="Y46" s="522"/>
      <c r="Z46" s="522"/>
      <c r="AA46" s="522"/>
      <c r="AB46" s="522"/>
    </row>
    <row r="47" spans="1:28" ht="51" customHeight="1" x14ac:dyDescent="0.25">
      <c r="A47" s="646" t="s">
        <v>85</v>
      </c>
      <c r="B47" s="7">
        <f>IF(  AND(ISNUMBER(C47),OR(ISNUMBER(D47),D47="PG")),IF(IF(Capa!$B$6="B",0,Capa!$B$6)&gt;=C47,1,0),"")</f>
        <v>0</v>
      </c>
      <c r="C47" s="12">
        <f t="shared" si="0"/>
        <v>1</v>
      </c>
      <c r="D47" s="647" t="s">
        <v>54</v>
      </c>
      <c r="E47" s="389" t="s">
        <v>87</v>
      </c>
      <c r="F47" s="513"/>
      <c r="G47" s="468"/>
      <c r="H47" s="241"/>
      <c r="I47" s="29"/>
      <c r="J47" s="239"/>
      <c r="K47" s="471"/>
      <c r="L47" s="697" t="str">
        <f>IF(OR(AND(NOT(ISBLANK(M47)),M47&lt;IF(Capa!$B$6&lt;&gt;"B",Capa!$B$6+1,1)),AND(NOT(ISBLANK(N47)),N47&lt;IF(Capa!$B$6&lt;&gt;"B",Capa!$B$6+1,1)),AND(NOT(ISBLANK(O47)),O47&lt;IF(Capa!$B$6&lt;&gt;"B",Capa!$B$6+1,1)),AND(NOT(ISBLANK(Q47)),Q47&lt;IF(Capa!$B$6&lt;&gt;"B",Capa!$B$6+1,1)),AND(NOT(ISBLANK(R47)),R47&lt;IF(Capa!$B$6&lt;&gt;"B",Capa!$B$6+1,1)),AND(NOT(ISBLANK(S47)),S47&lt;IF(Capa!$B$6&lt;&gt;"B",Capa!$B$6+1,1))),1,"")</f>
        <v/>
      </c>
      <c r="M47" s="81"/>
      <c r="N47" s="81"/>
      <c r="O47" s="81"/>
      <c r="P47" s="81"/>
      <c r="Q47" s="81"/>
      <c r="R47" s="81"/>
      <c r="S47" s="81"/>
      <c r="T47" s="81"/>
      <c r="U47" s="58"/>
      <c r="V47" s="464"/>
      <c r="W47" s="481"/>
      <c r="X47" s="464"/>
      <c r="Y47" s="522"/>
      <c r="Z47" s="522"/>
      <c r="AA47" s="522"/>
      <c r="AB47" s="522"/>
    </row>
    <row r="48" spans="1:28" ht="51" customHeight="1" x14ac:dyDescent="0.25">
      <c r="A48" s="646" t="s">
        <v>85</v>
      </c>
      <c r="B48" s="7">
        <f>IF(  AND(ISNUMBER(C48),OR(ISNUMBER(D48),D48="PG")),IF(IF(Capa!$B$6="B",0,Capa!$B$6)&gt;=C48,1,0),"")</f>
        <v>0</v>
      </c>
      <c r="C48" s="12">
        <f t="shared" si="0"/>
        <v>1</v>
      </c>
      <c r="D48" s="647">
        <v>22</v>
      </c>
      <c r="E48" s="352" t="s">
        <v>88</v>
      </c>
      <c r="F48" s="513"/>
      <c r="G48" s="468"/>
      <c r="H48" s="241"/>
      <c r="I48" s="29"/>
      <c r="J48" s="425">
        <f t="shared" ref="J48:J50" si="5">LEN(K48)</f>
        <v>0</v>
      </c>
      <c r="K48" s="471"/>
      <c r="L48" s="697" t="str">
        <f t="shared" ref="L48:L63" si="6">IF(OR(I48="N",I48="P"),1,"")</f>
        <v/>
      </c>
      <c r="M48" s="719"/>
      <c r="N48" s="720"/>
      <c r="O48" s="720"/>
      <c r="P48" s="720"/>
      <c r="Q48" s="720"/>
      <c r="R48" s="720"/>
      <c r="S48" s="720"/>
      <c r="T48" s="721"/>
      <c r="U48" s="71"/>
      <c r="V48" s="464"/>
      <c r="W48" s="481"/>
      <c r="X48" s="464"/>
      <c r="Y48" s="522"/>
      <c r="Z48" s="522"/>
      <c r="AA48" s="522"/>
      <c r="AB48" s="522"/>
    </row>
    <row r="49" spans="1:28" ht="30" x14ac:dyDescent="0.25">
      <c r="A49" s="646" t="s">
        <v>85</v>
      </c>
      <c r="B49" s="7">
        <f>IF(  AND(ISNUMBER(C49),OR(ISNUMBER(D49),D49="PG")),IF(IF(Capa!$B$6="B",0,Capa!$B$6)&gt;=C49,1,0),"")</f>
        <v>0</v>
      </c>
      <c r="C49" s="12">
        <f t="shared" si="0"/>
        <v>1</v>
      </c>
      <c r="D49" s="647">
        <v>23</v>
      </c>
      <c r="E49" s="352" t="s">
        <v>89</v>
      </c>
      <c r="F49" s="513"/>
      <c r="G49" s="468"/>
      <c r="H49" s="241"/>
      <c r="I49" s="29"/>
      <c r="J49" s="425">
        <f t="shared" si="5"/>
        <v>0</v>
      </c>
      <c r="K49" s="471"/>
      <c r="L49" s="697" t="str">
        <f t="shared" si="6"/>
        <v/>
      </c>
      <c r="M49" s="719"/>
      <c r="N49" s="720"/>
      <c r="O49" s="720"/>
      <c r="P49" s="720"/>
      <c r="Q49" s="720"/>
      <c r="R49" s="720"/>
      <c r="S49" s="720"/>
      <c r="T49" s="721"/>
      <c r="U49" s="71"/>
      <c r="V49" s="464"/>
      <c r="W49" s="481"/>
      <c r="X49" s="464"/>
      <c r="Y49" s="522"/>
      <c r="Z49" s="522"/>
      <c r="AA49" s="522"/>
      <c r="AB49" s="522"/>
    </row>
    <row r="50" spans="1:28" ht="60" x14ac:dyDescent="0.25">
      <c r="A50" s="646" t="s">
        <v>85</v>
      </c>
      <c r="B50" s="7">
        <f>IF(  AND(ISNUMBER(C50),OR(ISNUMBER(D50),D50="PG")),IF(IF(Capa!$B$6="B",0,Capa!$B$6)&gt;=C50,1,0),"")</f>
        <v>0</v>
      </c>
      <c r="C50" s="12">
        <f t="shared" si="0"/>
        <v>1</v>
      </c>
      <c r="D50" s="647">
        <v>24</v>
      </c>
      <c r="E50" s="352" t="s">
        <v>90</v>
      </c>
      <c r="F50" s="513"/>
      <c r="G50" s="468"/>
      <c r="H50" s="241"/>
      <c r="I50" s="29"/>
      <c r="J50" s="425">
        <f t="shared" si="5"/>
        <v>0</v>
      </c>
      <c r="K50" s="471"/>
      <c r="L50" s="697" t="str">
        <f t="shared" si="6"/>
        <v/>
      </c>
      <c r="M50" s="719"/>
      <c r="N50" s="720"/>
      <c r="O50" s="720"/>
      <c r="P50" s="720"/>
      <c r="Q50" s="720"/>
      <c r="R50" s="720"/>
      <c r="S50" s="720"/>
      <c r="T50" s="721"/>
      <c r="U50" s="71"/>
      <c r="V50" s="464"/>
      <c r="W50" s="481"/>
      <c r="X50" s="464"/>
      <c r="Y50" s="522"/>
      <c r="Z50" s="522"/>
      <c r="AA50" s="522"/>
      <c r="AB50" s="522"/>
    </row>
    <row r="51" spans="1:28" ht="105" x14ac:dyDescent="0.25">
      <c r="A51" s="646" t="s">
        <v>85</v>
      </c>
      <c r="B51" s="7">
        <f>IF(  AND(ISNUMBER(C51),OR(ISNUMBER(D51),D51="PG")),IF(IF(Capa!$B$6="B",0,Capa!$B$6)&gt;=C51,1,0),"")</f>
        <v>0</v>
      </c>
      <c r="C51" s="12">
        <f t="shared" si="0"/>
        <v>1</v>
      </c>
      <c r="D51" s="647">
        <v>25</v>
      </c>
      <c r="E51" s="352" t="s">
        <v>91</v>
      </c>
      <c r="F51" s="513"/>
      <c r="G51" s="468"/>
      <c r="H51" s="241"/>
      <c r="I51" s="29"/>
      <c r="J51" s="425">
        <f t="shared" ref="J51" si="7">LEN(K51)</f>
        <v>0</v>
      </c>
      <c r="K51" s="471"/>
      <c r="L51" s="697" t="str">
        <f t="shared" si="6"/>
        <v/>
      </c>
      <c r="M51" s="719"/>
      <c r="N51" s="720"/>
      <c r="O51" s="720"/>
      <c r="P51" s="720"/>
      <c r="Q51" s="720"/>
      <c r="R51" s="720"/>
      <c r="S51" s="720"/>
      <c r="T51" s="721"/>
      <c r="U51" s="71"/>
      <c r="V51" s="464"/>
      <c r="W51" s="481"/>
      <c r="X51" s="464"/>
      <c r="Y51" s="522"/>
      <c r="Z51" s="522"/>
      <c r="AA51" s="522"/>
      <c r="AB51" s="522"/>
    </row>
    <row r="52" spans="1:28" ht="7.15" customHeight="1" x14ac:dyDescent="0.25">
      <c r="A52" s="646" t="s">
        <v>85</v>
      </c>
      <c r="B52" s="7" t="str">
        <f>IF(  AND(ISNUMBER(C52),OR(ISNUMBER(D52),D52="PG")),IF(IF(Capa!$B$6="B",0,Capa!$B$6)&gt;=C52,1,0),"")</f>
        <v/>
      </c>
      <c r="C52" s="12">
        <f t="shared" si="0"/>
        <v>2</v>
      </c>
      <c r="D52" s="647" t="s">
        <v>64</v>
      </c>
      <c r="E52" s="352"/>
      <c r="F52" s="513"/>
      <c r="G52" s="468"/>
      <c r="H52" s="241"/>
      <c r="I52" s="29"/>
      <c r="J52" s="425">
        <f t="shared" ref="J52:J58" si="8">LEN(K52)</f>
        <v>0</v>
      </c>
      <c r="K52" s="471"/>
      <c r="L52" s="697" t="str">
        <f t="shared" si="6"/>
        <v/>
      </c>
      <c r="M52" s="719"/>
      <c r="N52" s="720"/>
      <c r="O52" s="720"/>
      <c r="P52" s="720"/>
      <c r="Q52" s="720"/>
      <c r="R52" s="720"/>
      <c r="S52" s="720"/>
      <c r="T52" s="721"/>
      <c r="U52" s="71"/>
      <c r="V52" s="464"/>
      <c r="W52" s="481"/>
      <c r="X52" s="464"/>
      <c r="Y52" s="522"/>
      <c r="Z52" s="522"/>
      <c r="AA52" s="522"/>
      <c r="AB52" s="522"/>
    </row>
    <row r="53" spans="1:28" ht="60" x14ac:dyDescent="0.25">
      <c r="A53" s="646" t="s">
        <v>85</v>
      </c>
      <c r="B53" s="7">
        <f>IF(  AND(ISNUMBER(C53),OR(ISNUMBER(D53),D53="PG")),IF(IF(Capa!$B$6="B",0,Capa!$B$6)&gt;=C53,1,0),"")</f>
        <v>0</v>
      </c>
      <c r="C53" s="12">
        <f t="shared" si="0"/>
        <v>2</v>
      </c>
      <c r="D53" s="647">
        <v>26</v>
      </c>
      <c r="E53" s="352" t="s">
        <v>92</v>
      </c>
      <c r="F53" s="513"/>
      <c r="G53" s="468"/>
      <c r="H53" s="241"/>
      <c r="I53" s="29"/>
      <c r="J53" s="425">
        <f t="shared" si="8"/>
        <v>0</v>
      </c>
      <c r="K53" s="471"/>
      <c r="L53" s="697" t="str">
        <f t="shared" si="6"/>
        <v/>
      </c>
      <c r="M53" s="719"/>
      <c r="N53" s="720"/>
      <c r="O53" s="720"/>
      <c r="P53" s="720"/>
      <c r="Q53" s="720"/>
      <c r="R53" s="720"/>
      <c r="S53" s="720"/>
      <c r="T53" s="721"/>
      <c r="U53" s="71"/>
      <c r="V53" s="464"/>
      <c r="W53" s="481"/>
      <c r="X53" s="464"/>
      <c r="Y53" s="522"/>
      <c r="Z53" s="522"/>
      <c r="AA53" s="522"/>
      <c r="AB53" s="522"/>
    </row>
    <row r="54" spans="1:28" ht="30" x14ac:dyDescent="0.25">
      <c r="A54" s="646" t="s">
        <v>85</v>
      </c>
      <c r="B54" s="7">
        <f>IF(  AND(ISNUMBER(C54),OR(ISNUMBER(D54),D54="PG")),IF(IF(Capa!$B$6="B",0,Capa!$B$6)&gt;=C54,1,0),"")</f>
        <v>0</v>
      </c>
      <c r="C54" s="12">
        <f t="shared" si="0"/>
        <v>2</v>
      </c>
      <c r="D54" s="647">
        <v>27</v>
      </c>
      <c r="E54" s="352" t="s">
        <v>93</v>
      </c>
      <c r="F54" s="513"/>
      <c r="G54" s="468"/>
      <c r="H54" s="241"/>
      <c r="I54" s="29"/>
      <c r="J54" s="425">
        <f t="shared" si="8"/>
        <v>0</v>
      </c>
      <c r="K54" s="471"/>
      <c r="L54" s="697" t="str">
        <f t="shared" si="6"/>
        <v/>
      </c>
      <c r="M54" s="719"/>
      <c r="N54" s="720"/>
      <c r="O54" s="720"/>
      <c r="P54" s="720"/>
      <c r="Q54" s="720"/>
      <c r="R54" s="720"/>
      <c r="S54" s="720"/>
      <c r="T54" s="721"/>
      <c r="U54" s="71"/>
      <c r="V54" s="464"/>
      <c r="W54" s="481"/>
      <c r="X54" s="464"/>
      <c r="Y54" s="522"/>
      <c r="Z54" s="522"/>
      <c r="AA54" s="522"/>
      <c r="AB54" s="522"/>
    </row>
    <row r="55" spans="1:28" ht="45" x14ac:dyDescent="0.25">
      <c r="A55" s="646" t="s">
        <v>85</v>
      </c>
      <c r="B55" s="7">
        <f>IF(  AND(ISNUMBER(C55),OR(ISNUMBER(D55),D55="PG")),IF(IF(Capa!$B$6="B",0,Capa!$B$6)&gt;=C55,1,0),"")</f>
        <v>0</v>
      </c>
      <c r="C55" s="12">
        <f t="shared" si="0"/>
        <v>2</v>
      </c>
      <c r="D55" s="647">
        <v>28</v>
      </c>
      <c r="E55" s="352" t="s">
        <v>94</v>
      </c>
      <c r="F55" s="513"/>
      <c r="G55" s="468"/>
      <c r="H55" s="241"/>
      <c r="I55" s="29"/>
      <c r="J55" s="425">
        <f t="shared" si="8"/>
        <v>0</v>
      </c>
      <c r="K55" s="471"/>
      <c r="L55" s="697" t="str">
        <f t="shared" si="6"/>
        <v/>
      </c>
      <c r="M55" s="719"/>
      <c r="N55" s="720"/>
      <c r="O55" s="720"/>
      <c r="P55" s="720"/>
      <c r="Q55" s="720"/>
      <c r="R55" s="720"/>
      <c r="S55" s="720"/>
      <c r="T55" s="721"/>
      <c r="U55" s="71"/>
      <c r="V55" s="464"/>
      <c r="W55" s="481"/>
      <c r="X55" s="464"/>
      <c r="Y55" s="522"/>
      <c r="Z55" s="522"/>
      <c r="AA55" s="522"/>
      <c r="AB55" s="522"/>
    </row>
    <row r="56" spans="1:28" ht="45" x14ac:dyDescent="0.25">
      <c r="A56" s="646" t="s">
        <v>85</v>
      </c>
      <c r="B56" s="7">
        <f>IF(  AND(ISNUMBER(C56),OR(ISNUMBER(D56),D56="PG")),IF(IF(Capa!$B$6="B",0,Capa!$B$6)&gt;=C56,1,0),"")</f>
        <v>0</v>
      </c>
      <c r="C56" s="12">
        <f t="shared" si="0"/>
        <v>2</v>
      </c>
      <c r="D56" s="647">
        <v>29</v>
      </c>
      <c r="E56" s="352" t="s">
        <v>95</v>
      </c>
      <c r="F56" s="513"/>
      <c r="G56" s="468"/>
      <c r="H56" s="241"/>
      <c r="I56" s="29"/>
      <c r="J56" s="425">
        <f t="shared" si="8"/>
        <v>0</v>
      </c>
      <c r="K56" s="471"/>
      <c r="L56" s="697" t="str">
        <f t="shared" si="6"/>
        <v/>
      </c>
      <c r="M56" s="719"/>
      <c r="N56" s="720"/>
      <c r="O56" s="720"/>
      <c r="P56" s="720"/>
      <c r="Q56" s="720"/>
      <c r="R56" s="720"/>
      <c r="S56" s="720"/>
      <c r="T56" s="721"/>
      <c r="U56" s="71"/>
      <c r="V56" s="464"/>
      <c r="W56" s="481"/>
      <c r="X56" s="464"/>
      <c r="Y56" s="522"/>
      <c r="Z56" s="522"/>
      <c r="AA56" s="522"/>
      <c r="AB56" s="522"/>
    </row>
    <row r="57" spans="1:28" ht="90" x14ac:dyDescent="0.25">
      <c r="A57" s="646" t="s">
        <v>85</v>
      </c>
      <c r="B57" s="7">
        <f>IF(  AND(ISNUMBER(C57),OR(ISNUMBER(D57),D57="PG")),IF(IF(Capa!$B$6="B",0,Capa!$B$6)&gt;=C57,1,0),"")</f>
        <v>0</v>
      </c>
      <c r="C57" s="12">
        <f t="shared" si="0"/>
        <v>2</v>
      </c>
      <c r="D57" s="647">
        <v>30</v>
      </c>
      <c r="E57" s="398" t="s">
        <v>96</v>
      </c>
      <c r="F57" s="513"/>
      <c r="G57" s="468"/>
      <c r="H57" s="241"/>
      <c r="I57" s="29"/>
      <c r="J57" s="425">
        <f t="shared" si="8"/>
        <v>0</v>
      </c>
      <c r="K57" s="471"/>
      <c r="L57" s="697" t="str">
        <f t="shared" si="6"/>
        <v/>
      </c>
      <c r="M57" s="719"/>
      <c r="N57" s="720"/>
      <c r="O57" s="720"/>
      <c r="P57" s="720"/>
      <c r="Q57" s="720"/>
      <c r="R57" s="720"/>
      <c r="S57" s="720"/>
      <c r="T57" s="721"/>
      <c r="U57" s="71"/>
      <c r="V57" s="464"/>
      <c r="W57" s="481"/>
      <c r="X57" s="464"/>
      <c r="Y57" s="522"/>
      <c r="Z57" s="522"/>
      <c r="AA57" s="522"/>
      <c r="AB57" s="522"/>
    </row>
    <row r="58" spans="1:28" ht="54" customHeight="1" x14ac:dyDescent="0.25">
      <c r="A58" s="646" t="s">
        <v>85</v>
      </c>
      <c r="B58" s="7">
        <f>IF(  AND(ISNUMBER(C58),OR(ISNUMBER(D58),D58="PG")),IF(IF(Capa!$B$6="B",0,Capa!$B$6)&gt;=C58,1,0),"")</f>
        <v>0</v>
      </c>
      <c r="C58" s="12">
        <f t="shared" si="0"/>
        <v>2</v>
      </c>
      <c r="D58" s="647">
        <v>31</v>
      </c>
      <c r="E58" s="352" t="s">
        <v>97</v>
      </c>
      <c r="F58" s="513"/>
      <c r="G58" s="468"/>
      <c r="H58" s="241"/>
      <c r="I58" s="29"/>
      <c r="J58" s="425">
        <f t="shared" si="8"/>
        <v>0</v>
      </c>
      <c r="K58" s="471"/>
      <c r="L58" s="697" t="str">
        <f t="shared" si="6"/>
        <v/>
      </c>
      <c r="M58" s="719"/>
      <c r="N58" s="720"/>
      <c r="O58" s="720"/>
      <c r="P58" s="720"/>
      <c r="Q58" s="720"/>
      <c r="R58" s="720"/>
      <c r="S58" s="720"/>
      <c r="T58" s="721"/>
      <c r="U58" s="71"/>
      <c r="V58" s="464"/>
      <c r="W58" s="481"/>
      <c r="X58" s="464"/>
      <c r="Y58" s="522"/>
      <c r="Z58" s="522"/>
      <c r="AA58" s="522"/>
      <c r="AB58" s="522"/>
    </row>
    <row r="59" spans="1:28" ht="7.9" customHeight="1" x14ac:dyDescent="0.25">
      <c r="A59" s="646" t="s">
        <v>85</v>
      </c>
      <c r="B59" s="7" t="str">
        <f>IF(  AND(ISNUMBER(C59),OR(ISNUMBER(D59),D59="PG")),IF(IF(Capa!$B$6="B",0,Capa!$B$6)&gt;=C59,1,0),"")</f>
        <v/>
      </c>
      <c r="C59" s="12">
        <f t="shared" si="0"/>
        <v>3</v>
      </c>
      <c r="D59" s="647" t="s">
        <v>70</v>
      </c>
      <c r="E59" s="352"/>
      <c r="F59" s="513"/>
      <c r="G59" s="468"/>
      <c r="H59" s="241"/>
      <c r="I59" s="29"/>
      <c r="J59" s="425">
        <f t="shared" ref="J59:J63" si="9">LEN(K59)</f>
        <v>0</v>
      </c>
      <c r="K59" s="471"/>
      <c r="L59" s="697" t="str">
        <f t="shared" si="6"/>
        <v/>
      </c>
      <c r="M59" s="719"/>
      <c r="N59" s="720"/>
      <c r="O59" s="720"/>
      <c r="P59" s="720"/>
      <c r="Q59" s="720"/>
      <c r="R59" s="720"/>
      <c r="S59" s="720"/>
      <c r="T59" s="721"/>
      <c r="U59" s="71"/>
      <c r="V59" s="464"/>
      <c r="W59" s="481"/>
      <c r="X59" s="464"/>
      <c r="Y59" s="522"/>
      <c r="Z59" s="522"/>
      <c r="AA59" s="522"/>
      <c r="AB59" s="522"/>
    </row>
    <row r="60" spans="1:28" ht="120" x14ac:dyDescent="0.25">
      <c r="A60" s="646" t="s">
        <v>85</v>
      </c>
      <c r="B60" s="7">
        <f>IF(  AND(ISNUMBER(C60),OR(ISNUMBER(D60),D60="PG")),IF(IF(Capa!$B$6="B",0,Capa!$B$6)&gt;=C60,1,0),"")</f>
        <v>0</v>
      </c>
      <c r="C60" s="12">
        <f t="shared" si="0"/>
        <v>3</v>
      </c>
      <c r="D60" s="647">
        <v>32</v>
      </c>
      <c r="E60" s="352" t="s">
        <v>98</v>
      </c>
      <c r="F60" s="513"/>
      <c r="G60" s="468"/>
      <c r="H60" s="241"/>
      <c r="I60" s="29"/>
      <c r="J60" s="425">
        <f t="shared" si="9"/>
        <v>0</v>
      </c>
      <c r="K60" s="471"/>
      <c r="L60" s="697" t="str">
        <f t="shared" si="6"/>
        <v/>
      </c>
      <c r="M60" s="719"/>
      <c r="N60" s="720"/>
      <c r="O60" s="720"/>
      <c r="P60" s="720"/>
      <c r="Q60" s="720"/>
      <c r="R60" s="720"/>
      <c r="S60" s="720"/>
      <c r="T60" s="721"/>
      <c r="U60" s="71"/>
      <c r="V60" s="464"/>
      <c r="W60" s="481"/>
      <c r="X60" s="464"/>
      <c r="Y60" s="522"/>
      <c r="Z60" s="522"/>
      <c r="AA60" s="522"/>
      <c r="AB60" s="522"/>
    </row>
    <row r="61" spans="1:28" ht="45" x14ac:dyDescent="0.25">
      <c r="A61" s="646" t="s">
        <v>85</v>
      </c>
      <c r="B61" s="7">
        <f>IF(  AND(ISNUMBER(C61),OR(ISNUMBER(D61),D61="PG")),IF(IF(Capa!$B$6="B",0,Capa!$B$6)&gt;=C61,1,0),"")</f>
        <v>0</v>
      </c>
      <c r="C61" s="12">
        <f t="shared" si="0"/>
        <v>3</v>
      </c>
      <c r="D61" s="647">
        <v>33</v>
      </c>
      <c r="E61" s="352" t="s">
        <v>99</v>
      </c>
      <c r="F61" s="513"/>
      <c r="G61" s="468"/>
      <c r="H61" s="241"/>
      <c r="I61" s="29"/>
      <c r="J61" s="425">
        <f t="shared" ref="J61:J62" si="10">LEN(K61)</f>
        <v>0</v>
      </c>
      <c r="K61" s="471"/>
      <c r="L61" s="697" t="str">
        <f t="shared" si="6"/>
        <v/>
      </c>
      <c r="M61" s="461"/>
      <c r="N61" s="462"/>
      <c r="O61" s="462"/>
      <c r="P61" s="462"/>
      <c r="Q61" s="462"/>
      <c r="R61" s="462"/>
      <c r="S61" s="462"/>
      <c r="T61" s="463"/>
      <c r="U61" s="73"/>
      <c r="V61" s="464"/>
      <c r="W61" s="482"/>
      <c r="X61" s="464"/>
      <c r="Y61" s="522"/>
      <c r="Z61" s="522"/>
      <c r="AA61" s="522"/>
      <c r="AB61" s="522"/>
    </row>
    <row r="62" spans="1:28" ht="75" x14ac:dyDescent="0.25">
      <c r="A62" s="646" t="s">
        <v>85</v>
      </c>
      <c r="B62" s="7">
        <f>IF(  AND(ISNUMBER(C62),OR(ISNUMBER(D62),D62="PG")),IF(IF(Capa!$B$6="B",0,Capa!$B$6)&gt;=C62,1,0),"")</f>
        <v>0</v>
      </c>
      <c r="C62" s="12">
        <f t="shared" si="0"/>
        <v>3</v>
      </c>
      <c r="D62" s="647">
        <v>34</v>
      </c>
      <c r="E62" s="398" t="s">
        <v>100</v>
      </c>
      <c r="F62" s="513"/>
      <c r="G62" s="468"/>
      <c r="H62" s="241"/>
      <c r="I62" s="29"/>
      <c r="J62" s="425">
        <f t="shared" si="10"/>
        <v>0</v>
      </c>
      <c r="K62" s="471"/>
      <c r="L62" s="697" t="str">
        <f t="shared" si="6"/>
        <v/>
      </c>
      <c r="M62" s="461"/>
      <c r="N62" s="462"/>
      <c r="O62" s="462"/>
      <c r="P62" s="462"/>
      <c r="Q62" s="462"/>
      <c r="R62" s="462"/>
      <c r="S62" s="462"/>
      <c r="T62" s="463"/>
      <c r="U62" s="73"/>
      <c r="V62" s="464"/>
      <c r="W62" s="482"/>
      <c r="X62" s="464"/>
      <c r="Y62" s="522"/>
      <c r="Z62" s="522"/>
      <c r="AA62" s="522"/>
      <c r="AB62" s="522"/>
    </row>
    <row r="63" spans="1:28" ht="47.45" customHeight="1" x14ac:dyDescent="0.25">
      <c r="A63" s="646" t="s">
        <v>85</v>
      </c>
      <c r="B63" s="7">
        <f>IF(  AND(ISNUMBER(C63),OR(ISNUMBER(D63),D63="PG")),IF(IF(Capa!$B$6="B",0,Capa!$B$6)&gt;=C63,1,0),"")</f>
        <v>0</v>
      </c>
      <c r="C63" s="12">
        <f t="shared" si="0"/>
        <v>3</v>
      </c>
      <c r="D63" s="647">
        <v>35</v>
      </c>
      <c r="E63" s="412" t="s">
        <v>101</v>
      </c>
      <c r="F63" s="513"/>
      <c r="G63" s="468"/>
      <c r="H63" s="241"/>
      <c r="I63" s="29"/>
      <c r="J63" s="425">
        <f t="shared" si="9"/>
        <v>0</v>
      </c>
      <c r="K63" s="471"/>
      <c r="L63" s="697" t="str">
        <f t="shared" si="6"/>
        <v/>
      </c>
      <c r="M63" s="719"/>
      <c r="N63" s="720"/>
      <c r="O63" s="720"/>
      <c r="P63" s="720"/>
      <c r="Q63" s="720"/>
      <c r="R63" s="720"/>
      <c r="S63" s="720"/>
      <c r="T63" s="721"/>
      <c r="U63" s="73"/>
      <c r="V63" s="464"/>
      <c r="W63" s="482"/>
      <c r="X63" s="464"/>
      <c r="Y63" s="522"/>
      <c r="Z63" s="522"/>
      <c r="AA63" s="522"/>
      <c r="AB63" s="522"/>
    </row>
    <row r="64" spans="1:28" ht="5.85" customHeight="1" x14ac:dyDescent="0.25">
      <c r="B64" s="7" t="str">
        <f>IF(  AND(ISNUMBER(C64),OR(ISNUMBER(D64),D64="PG")),IF(IF(Capa!$B$6="B",0,Capa!$B$6)&gt;=C64,1,0),"")</f>
        <v/>
      </c>
      <c r="C64" s="12" t="str">
        <f t="shared" si="0"/>
        <v/>
      </c>
      <c r="D64" s="225"/>
      <c r="E64" s="226"/>
      <c r="F64" s="123"/>
      <c r="G64" s="227"/>
      <c r="H64" s="227"/>
      <c r="I64" s="123"/>
      <c r="J64" s="227"/>
      <c r="K64" s="692"/>
      <c r="L64" s="227"/>
      <c r="M64" s="119"/>
      <c r="N64" s="119"/>
      <c r="O64" s="119"/>
      <c r="P64" s="119"/>
      <c r="Q64" s="119"/>
      <c r="R64" s="119"/>
      <c r="S64" s="229"/>
      <c r="T64" s="229"/>
      <c r="U64" s="454"/>
      <c r="V64" s="642"/>
      <c r="W64" s="121"/>
      <c r="X64" s="465"/>
      <c r="Y64" s="465"/>
      <c r="Z64" s="465"/>
      <c r="AA64" s="465"/>
      <c r="AB64" s="465"/>
    </row>
    <row r="65" spans="1:28" ht="25.5" x14ac:dyDescent="0.25">
      <c r="A65" s="210" t="s">
        <v>102</v>
      </c>
      <c r="B65" s="7" t="str">
        <f>IF(  AND(ISNUMBER(C65),OR(ISNUMBER(D65),D65="PG")),IF(IF(Capa!$B$6="B",0,Capa!$B$6)&gt;=C65,1,0),"")</f>
        <v/>
      </c>
      <c r="C65" s="12" t="str">
        <f t="shared" si="0"/>
        <v/>
      </c>
      <c r="D65" s="15"/>
      <c r="E65" s="395" t="s">
        <v>103</v>
      </c>
      <c r="F65" s="519"/>
      <c r="G65" s="500"/>
      <c r="H65" s="219"/>
      <c r="I65" s="23"/>
      <c r="J65" s="219"/>
      <c r="K65" s="504"/>
      <c r="L65" s="383">
        <f>IF(AND($B67=1,D67="PG"),IF(COUNTIFS($A$1:$A$238,"="&amp;$A65,$B$1:$B$238,"&gt;0",$D$1:$D$238,"&gt;0")&gt;0,
        (COUNTIFS($A$1:$A$238,"="&amp;$A65,$B$1:$B$238,"&gt;0",$D$1:$D$238,"&gt;0",F$1:F$238,"=S",I$1:I$238,"") +
         (COUNTIFS($A$1:$A$238,"="&amp;$A65,$B$1:$B$238,"&gt;0",$D$1:$D$238,"&gt;0",$F$1:$F$238,"=P",I$1:I$238,"")/2) +
         COUNTIFS($A$1:$A$238,"="&amp;$A65,$B$1:$B$238,"&gt;0",$D$1:$D$238,"&gt;0",I$1:I$238,"=S") +
         (COUNTIFS($A$1:$A$238,"="&amp;$A65,$B$1:$B$238,"&gt;0",$D$1:$D$238,"&gt;0",I$1:I$238,"=P")/2)
         )/COUNTIFS($A$1:$A$238,"="&amp;$A65,$B$1:$B$238,"&gt;0",$D$1:$D$238,"&gt;0"),1),"")</f>
        <v>0</v>
      </c>
      <c r="M65" s="380"/>
      <c r="N65" s="70"/>
      <c r="O65" s="68"/>
      <c r="P65" s="68"/>
      <c r="Q65" s="83">
        <f>IF(L65="","",MIN(IF(ISBLANK(Q67),0,Q67),IF(L65&gt;0.9,4,IF(L65&gt;0.5,3,IF(L65&gt;0.3,2,IF(OR(L65&gt;0,Q67&gt;0),1,0))))))</f>
        <v>0</v>
      </c>
      <c r="R65" s="68"/>
      <c r="S65" s="68"/>
      <c r="T65" s="68"/>
      <c r="U65" s="68"/>
      <c r="V65" s="545"/>
      <c r="W65" s="479"/>
      <c r="X65" s="580"/>
      <c r="Y65" s="579"/>
      <c r="Z65" s="579"/>
      <c r="AA65" s="579"/>
      <c r="AB65" s="579"/>
    </row>
    <row r="66" spans="1:28" ht="6" hidden="1" customHeight="1" x14ac:dyDescent="0.25">
      <c r="A66" s="210" t="s">
        <v>102</v>
      </c>
      <c r="B66" s="7" t="str">
        <f>IF(  AND(ISNUMBER(C66),OR(ISNUMBER(D66),D66="PG")),IF(IF(Capa!$B$6="B",0,Capa!$B$6)&gt;=C66,1,0),"")</f>
        <v/>
      </c>
      <c r="C66" s="12">
        <f t="shared" si="0"/>
        <v>0</v>
      </c>
      <c r="D66" s="18" t="s">
        <v>53</v>
      </c>
      <c r="E66" s="394"/>
      <c r="F66" s="513"/>
      <c r="G66" s="498"/>
      <c r="H66" s="239"/>
      <c r="I66" s="26"/>
      <c r="J66" s="239"/>
      <c r="K66" s="503"/>
      <c r="L66" s="240"/>
      <c r="M66" s="69"/>
      <c r="N66" s="69"/>
      <c r="O66" s="69"/>
      <c r="P66" s="69"/>
      <c r="Q66" s="69"/>
      <c r="R66" s="69"/>
      <c r="S66" s="261"/>
      <c r="T66" s="261"/>
      <c r="U66" s="303"/>
      <c r="V66" s="465"/>
      <c r="W66" s="488"/>
      <c r="X66" s="464"/>
      <c r="Y66" s="522"/>
      <c r="Z66" s="522"/>
      <c r="AA66" s="522"/>
      <c r="AB66" s="522"/>
    </row>
    <row r="67" spans="1:28" ht="114.75" x14ac:dyDescent="0.25">
      <c r="A67" s="646" t="s">
        <v>102</v>
      </c>
      <c r="B67" s="7">
        <f>IF(  AND(ISNUMBER(C67),OR(ISNUMBER(D67),D67="PG")),IF(IF(Capa!$B$6="B",0,Capa!$B$6)&gt;=C67,1,0),"")</f>
        <v>1</v>
      </c>
      <c r="C67" s="12">
        <f t="shared" si="0"/>
        <v>0</v>
      </c>
      <c r="D67" s="647" t="s">
        <v>54</v>
      </c>
      <c r="E67" s="389" t="s">
        <v>104</v>
      </c>
      <c r="F67" s="513"/>
      <c r="G67" s="468"/>
      <c r="H67" s="241"/>
      <c r="I67" s="29"/>
      <c r="J67" s="239"/>
      <c r="K67" s="471"/>
      <c r="L67" s="697" t="str">
        <f>IF(OR(AND(NOT(ISBLANK(M67)),M67&lt;IF(Capa!$B$6&lt;&gt;"B",Capa!$B$6+1,1)),AND(NOT(ISBLANK(N67)),N67&lt;IF(Capa!$B$6&lt;&gt;"B",Capa!$B$6+1,1)),AND(NOT(ISBLANK(O67)),O67&lt;IF(Capa!$B$6&lt;&gt;"B",Capa!$B$6+1,1)),AND(NOT(ISBLANK(Q67)),Q67&lt;IF(Capa!$B$6&lt;&gt;"B",Capa!$B$6+1,1)),AND(NOT(ISBLANK(R67)),R67&lt;IF(Capa!$B$6&lt;&gt;"B",Capa!$B$6+1,1)),AND(NOT(ISBLANK(S67)),S67&lt;IF(Capa!$B$6&lt;&gt;"B",Capa!$B$6+1,1))),1,"")</f>
        <v/>
      </c>
      <c r="M67" s="81"/>
      <c r="N67" s="81"/>
      <c r="O67" s="81"/>
      <c r="P67" s="81"/>
      <c r="Q67" s="81"/>
      <c r="R67" s="81"/>
      <c r="S67" s="81"/>
      <c r="T67" s="81"/>
      <c r="U67" s="58"/>
      <c r="V67" s="464"/>
      <c r="W67" s="481"/>
      <c r="X67" s="464"/>
      <c r="Y67" s="522"/>
      <c r="Z67" s="522"/>
      <c r="AA67" s="522"/>
      <c r="AB67" s="522"/>
    </row>
    <row r="68" spans="1:28" ht="30" x14ac:dyDescent="0.25">
      <c r="A68" s="646" t="s">
        <v>102</v>
      </c>
      <c r="B68" s="7">
        <f>IF(  AND(ISNUMBER(C68),OR(ISNUMBER(D68),D68="PG")),IF(IF(Capa!$B$6="B",0,Capa!$B$6)&gt;=C68,1,0),"")</f>
        <v>1</v>
      </c>
      <c r="C68" s="12">
        <f t="shared" si="0"/>
        <v>0</v>
      </c>
      <c r="D68" s="647">
        <v>36</v>
      </c>
      <c r="E68" s="352" t="s">
        <v>105</v>
      </c>
      <c r="F68" s="513"/>
      <c r="G68" s="468"/>
      <c r="H68" s="241"/>
      <c r="I68" s="29"/>
      <c r="J68" s="425">
        <f t="shared" ref="J68:J79" si="11">LEN(K68)</f>
        <v>0</v>
      </c>
      <c r="K68" s="471"/>
      <c r="L68" s="697" t="str">
        <f t="shared" ref="L68:L89" si="12">IF(OR(I68="N",I68="P"),1,"")</f>
        <v/>
      </c>
      <c r="M68" s="719"/>
      <c r="N68" s="720"/>
      <c r="O68" s="720"/>
      <c r="P68" s="720"/>
      <c r="Q68" s="720"/>
      <c r="R68" s="720"/>
      <c r="S68" s="720"/>
      <c r="T68" s="721"/>
      <c r="U68" s="71"/>
      <c r="V68" s="464"/>
      <c r="W68" s="481"/>
      <c r="X68" s="464"/>
      <c r="Y68" s="522"/>
      <c r="Z68" s="522"/>
      <c r="AA68" s="522"/>
      <c r="AB68" s="522"/>
    </row>
    <row r="69" spans="1:28" ht="60" x14ac:dyDescent="0.25">
      <c r="A69" s="646" t="s">
        <v>102</v>
      </c>
      <c r="B69" s="7">
        <f>IF(  AND(ISNUMBER(C69),OR(ISNUMBER(D69),D69="PG")),IF(IF(Capa!$B$6="B",0,Capa!$B$6)&gt;=C69,1,0),"")</f>
        <v>1</v>
      </c>
      <c r="C69" s="12">
        <f t="shared" ref="C69:C128" si="13">IF(ISBLANK(D69),"",IF(ISERR(SEARCH(D69&amp;"\","&lt;B&gt;\&lt;1&gt;\&lt;2&gt;\&lt;3&gt;\")),IF(AND(NOT(ISBLANK(C68)),C68&lt;=3),C68,""),
IF(SEARCH(D69&amp;"\","&lt;B&gt;\&lt;1&gt;\&lt;2&gt;\&lt;3&gt;\")=1,0,IF(SEARCH(D69&amp;"\","&lt;B&gt;\&lt;1&gt;\&lt;2&gt;\&lt;3&gt;\")=5,1,IF(SEARCH(D69&amp;"\","&lt;B&gt;\&lt;1&gt;\&lt;2&gt;\&lt;3&gt;\")=9,2,IF(SEARCH(D69&amp;"\","&lt;B&gt;\&lt;1&gt;\&lt;2&gt;\&lt;3&gt;\")=13,3,""))))))</f>
        <v>0</v>
      </c>
      <c r="D69" s="647">
        <v>37</v>
      </c>
      <c r="E69" s="352" t="s">
        <v>106</v>
      </c>
      <c r="F69" s="513"/>
      <c r="G69" s="468"/>
      <c r="H69" s="241"/>
      <c r="I69" s="29"/>
      <c r="J69" s="425">
        <f t="shared" si="11"/>
        <v>0</v>
      </c>
      <c r="K69" s="471"/>
      <c r="L69" s="697" t="str">
        <f t="shared" si="12"/>
        <v/>
      </c>
      <c r="M69" s="719"/>
      <c r="N69" s="720"/>
      <c r="O69" s="720"/>
      <c r="P69" s="720"/>
      <c r="Q69" s="720"/>
      <c r="R69" s="720"/>
      <c r="S69" s="720"/>
      <c r="T69" s="721"/>
      <c r="U69" s="71"/>
      <c r="V69" s="464"/>
      <c r="W69" s="481"/>
      <c r="X69" s="464"/>
      <c r="Y69" s="522"/>
      <c r="Z69" s="522"/>
      <c r="AA69" s="522"/>
      <c r="AB69" s="522"/>
    </row>
    <row r="70" spans="1:28" ht="45" x14ac:dyDescent="0.25">
      <c r="A70" s="646" t="s">
        <v>102</v>
      </c>
      <c r="B70" s="7">
        <f>IF(  AND(ISNUMBER(C70),OR(ISNUMBER(D70),D70="PG")),IF(IF(Capa!$B$6="B",0,Capa!$B$6)&gt;=C70,1,0),"")</f>
        <v>1</v>
      </c>
      <c r="C70" s="12">
        <f t="shared" si="13"/>
        <v>0</v>
      </c>
      <c r="D70" s="647">
        <v>38</v>
      </c>
      <c r="E70" s="352" t="s">
        <v>107</v>
      </c>
      <c r="F70" s="513"/>
      <c r="G70" s="468"/>
      <c r="H70" s="241"/>
      <c r="I70" s="29"/>
      <c r="J70" s="425">
        <f t="shared" si="11"/>
        <v>0</v>
      </c>
      <c r="K70" s="471"/>
      <c r="L70" s="697" t="str">
        <f t="shared" si="12"/>
        <v/>
      </c>
      <c r="M70" s="719"/>
      <c r="N70" s="720"/>
      <c r="O70" s="720"/>
      <c r="P70" s="720"/>
      <c r="Q70" s="720"/>
      <c r="R70" s="720"/>
      <c r="S70" s="720"/>
      <c r="T70" s="721"/>
      <c r="U70" s="71"/>
      <c r="V70" s="464"/>
      <c r="W70" s="481"/>
      <c r="X70" s="464"/>
      <c r="Y70" s="522"/>
      <c r="Z70" s="522"/>
      <c r="AA70" s="522"/>
      <c r="AB70" s="522"/>
    </row>
    <row r="71" spans="1:28" ht="9.6" customHeight="1" x14ac:dyDescent="0.25">
      <c r="A71" s="646" t="s">
        <v>102</v>
      </c>
      <c r="B71" s="7" t="str">
        <f>IF(  AND(ISNUMBER(C71),OR(ISNUMBER(D71),D71="PG")),IF(IF(Capa!$B$6="B",0,Capa!$B$6)&gt;=C71,1,0),"")</f>
        <v/>
      </c>
      <c r="C71" s="12">
        <f t="shared" si="13"/>
        <v>1</v>
      </c>
      <c r="D71" s="647" t="s">
        <v>62</v>
      </c>
      <c r="E71" s="352"/>
      <c r="F71" s="513"/>
      <c r="G71" s="468"/>
      <c r="H71" s="241"/>
      <c r="I71" s="29"/>
      <c r="J71" s="425">
        <f t="shared" si="11"/>
        <v>0</v>
      </c>
      <c r="K71" s="471"/>
      <c r="L71" s="697" t="str">
        <f t="shared" si="12"/>
        <v/>
      </c>
      <c r="M71" s="719"/>
      <c r="N71" s="720"/>
      <c r="O71" s="720"/>
      <c r="P71" s="720"/>
      <c r="Q71" s="720"/>
      <c r="R71" s="720"/>
      <c r="S71" s="720"/>
      <c r="T71" s="721"/>
      <c r="U71" s="71"/>
      <c r="V71" s="464"/>
      <c r="W71" s="481"/>
      <c r="X71" s="464"/>
      <c r="Y71" s="522"/>
      <c r="Z71" s="522"/>
      <c r="AA71" s="522"/>
      <c r="AB71" s="522"/>
    </row>
    <row r="72" spans="1:28" ht="60" x14ac:dyDescent="0.25">
      <c r="A72" s="646" t="s">
        <v>102</v>
      </c>
      <c r="B72" s="7">
        <f>IF(  AND(ISNUMBER(C72),OR(ISNUMBER(D72),D72="PG")),IF(IF(Capa!$B$6="B",0,Capa!$B$6)&gt;=C72,1,0),"")</f>
        <v>0</v>
      </c>
      <c r="C72" s="12">
        <f t="shared" si="13"/>
        <v>1</v>
      </c>
      <c r="D72" s="647">
        <v>39</v>
      </c>
      <c r="E72" s="352" t="s">
        <v>108</v>
      </c>
      <c r="F72" s="513"/>
      <c r="G72" s="468"/>
      <c r="H72" s="241"/>
      <c r="I72" s="29"/>
      <c r="J72" s="425">
        <f t="shared" si="11"/>
        <v>0</v>
      </c>
      <c r="K72" s="471"/>
      <c r="L72" s="697" t="str">
        <f t="shared" si="12"/>
        <v/>
      </c>
      <c r="M72" s="719"/>
      <c r="N72" s="720"/>
      <c r="O72" s="720"/>
      <c r="P72" s="720"/>
      <c r="Q72" s="720"/>
      <c r="R72" s="720"/>
      <c r="S72" s="720"/>
      <c r="T72" s="721"/>
      <c r="U72" s="71"/>
      <c r="V72" s="464"/>
      <c r="W72" s="481"/>
      <c r="X72" s="464"/>
      <c r="Y72" s="522"/>
      <c r="Z72" s="522"/>
      <c r="AA72" s="522"/>
      <c r="AB72" s="522"/>
    </row>
    <row r="73" spans="1:28" ht="12.6" customHeight="1" x14ac:dyDescent="0.25">
      <c r="A73" s="646" t="s">
        <v>102</v>
      </c>
      <c r="B73" s="7" t="str">
        <f>IF(  AND(ISNUMBER(C73),OR(ISNUMBER(D73),D73="PG")),IF(IF(Capa!$B$6="B",0,Capa!$B$6)&gt;=C73,1,0),"")</f>
        <v/>
      </c>
      <c r="C73" s="12">
        <f t="shared" si="13"/>
        <v>2</v>
      </c>
      <c r="D73" s="647" t="s">
        <v>64</v>
      </c>
      <c r="E73" s="352"/>
      <c r="F73" s="513"/>
      <c r="G73" s="468"/>
      <c r="H73" s="241"/>
      <c r="I73" s="29"/>
      <c r="J73" s="425">
        <f t="shared" si="11"/>
        <v>0</v>
      </c>
      <c r="K73" s="471"/>
      <c r="L73" s="697" t="str">
        <f t="shared" si="12"/>
        <v/>
      </c>
      <c r="M73" s="719"/>
      <c r="N73" s="720"/>
      <c r="O73" s="720"/>
      <c r="P73" s="720"/>
      <c r="Q73" s="720"/>
      <c r="R73" s="720"/>
      <c r="S73" s="720"/>
      <c r="T73" s="721"/>
      <c r="U73" s="71"/>
      <c r="V73" s="464"/>
      <c r="W73" s="481"/>
      <c r="X73" s="464"/>
      <c r="Y73" s="522"/>
      <c r="Z73" s="522"/>
      <c r="AA73" s="522"/>
      <c r="AB73" s="522"/>
    </row>
    <row r="74" spans="1:28" ht="54.6" customHeight="1" x14ac:dyDescent="0.25">
      <c r="A74" s="646" t="s">
        <v>102</v>
      </c>
      <c r="B74" s="7">
        <f>IF(  AND(ISNUMBER(C74),OR(ISNUMBER(D74),D74="PG")),IF(IF(Capa!$B$6="B",0,Capa!$B$6)&gt;=C74,1,0),"")</f>
        <v>0</v>
      </c>
      <c r="C74" s="12">
        <f t="shared" si="13"/>
        <v>2</v>
      </c>
      <c r="D74" s="647">
        <v>40</v>
      </c>
      <c r="E74" s="352" t="s">
        <v>109</v>
      </c>
      <c r="F74" s="513"/>
      <c r="G74" s="468"/>
      <c r="H74" s="241"/>
      <c r="I74" s="29"/>
      <c r="J74" s="425">
        <f t="shared" si="11"/>
        <v>0</v>
      </c>
      <c r="K74" s="471"/>
      <c r="L74" s="697" t="str">
        <f t="shared" si="12"/>
        <v/>
      </c>
      <c r="M74" s="719"/>
      <c r="N74" s="720"/>
      <c r="O74" s="720"/>
      <c r="P74" s="720"/>
      <c r="Q74" s="720"/>
      <c r="R74" s="720"/>
      <c r="S74" s="720"/>
      <c r="T74" s="721"/>
      <c r="U74" s="71"/>
      <c r="V74" s="464"/>
      <c r="W74" s="481"/>
      <c r="X74" s="464"/>
      <c r="Y74" s="522"/>
      <c r="Z74" s="522"/>
      <c r="AA74" s="522"/>
      <c r="AB74" s="522"/>
    </row>
    <row r="75" spans="1:28" ht="60" x14ac:dyDescent="0.25">
      <c r="A75" s="646" t="s">
        <v>102</v>
      </c>
      <c r="B75" s="7">
        <f>IF(  AND(ISNUMBER(C75),OR(ISNUMBER(D75),D75="PG")),IF(IF(Capa!$B$6="B",0,Capa!$B$6)&gt;=C75,1,0),"")</f>
        <v>0</v>
      </c>
      <c r="C75" s="12">
        <f t="shared" si="13"/>
        <v>2</v>
      </c>
      <c r="D75" s="647">
        <v>41</v>
      </c>
      <c r="E75" s="352" t="s">
        <v>110</v>
      </c>
      <c r="F75" s="513"/>
      <c r="G75" s="468"/>
      <c r="H75" s="241"/>
      <c r="I75" s="29"/>
      <c r="J75" s="425">
        <f t="shared" si="11"/>
        <v>0</v>
      </c>
      <c r="K75" s="471"/>
      <c r="L75" s="697" t="str">
        <f t="shared" si="12"/>
        <v/>
      </c>
      <c r="M75" s="719"/>
      <c r="N75" s="720"/>
      <c r="O75" s="720"/>
      <c r="P75" s="720"/>
      <c r="Q75" s="720"/>
      <c r="R75" s="720"/>
      <c r="S75" s="720"/>
      <c r="T75" s="721"/>
      <c r="U75" s="71"/>
      <c r="V75" s="464"/>
      <c r="W75" s="481"/>
      <c r="X75" s="464"/>
      <c r="Y75" s="522"/>
      <c r="Z75" s="522"/>
      <c r="AA75" s="522"/>
      <c r="AB75" s="522"/>
    </row>
    <row r="76" spans="1:28" ht="45" x14ac:dyDescent="0.25">
      <c r="A76" s="646" t="s">
        <v>102</v>
      </c>
      <c r="B76" s="7">
        <f>IF(  AND(ISNUMBER(C76),OR(ISNUMBER(D76),D76="PG")),IF(IF(Capa!$B$6="B",0,Capa!$B$6)&gt;=C76,1,0),"")</f>
        <v>0</v>
      </c>
      <c r="C76" s="12">
        <f t="shared" si="13"/>
        <v>2</v>
      </c>
      <c r="D76" s="647">
        <v>42</v>
      </c>
      <c r="E76" s="352" t="s">
        <v>111</v>
      </c>
      <c r="F76" s="513"/>
      <c r="G76" s="468"/>
      <c r="H76" s="241"/>
      <c r="I76" s="29"/>
      <c r="J76" s="425">
        <f t="shared" si="11"/>
        <v>0</v>
      </c>
      <c r="K76" s="471"/>
      <c r="L76" s="697" t="str">
        <f t="shared" si="12"/>
        <v/>
      </c>
      <c r="M76" s="719"/>
      <c r="N76" s="720"/>
      <c r="O76" s="720"/>
      <c r="P76" s="720"/>
      <c r="Q76" s="720"/>
      <c r="R76" s="720"/>
      <c r="S76" s="720"/>
      <c r="T76" s="721"/>
      <c r="U76" s="71"/>
      <c r="V76" s="464"/>
      <c r="W76" s="481"/>
      <c r="X76" s="464"/>
      <c r="Y76" s="522"/>
      <c r="Z76" s="522"/>
      <c r="AA76" s="522"/>
      <c r="AB76" s="522"/>
    </row>
    <row r="77" spans="1:28" ht="45" x14ac:dyDescent="0.25">
      <c r="A77" s="646" t="s">
        <v>102</v>
      </c>
      <c r="B77" s="7">
        <f>IF(  AND(ISNUMBER(C77),OR(ISNUMBER(D77),D77="PG")),IF(IF(Capa!$B$6="B",0,Capa!$B$6)&gt;=C77,1,0),"")</f>
        <v>0</v>
      </c>
      <c r="C77" s="12">
        <f t="shared" si="13"/>
        <v>2</v>
      </c>
      <c r="D77" s="647">
        <v>43</v>
      </c>
      <c r="E77" s="352" t="s">
        <v>112</v>
      </c>
      <c r="F77" s="513"/>
      <c r="G77" s="468"/>
      <c r="H77" s="241"/>
      <c r="I77" s="29"/>
      <c r="J77" s="425">
        <f t="shared" si="11"/>
        <v>0</v>
      </c>
      <c r="K77" s="471"/>
      <c r="L77" s="697" t="str">
        <f t="shared" si="12"/>
        <v/>
      </c>
      <c r="M77" s="719"/>
      <c r="N77" s="720"/>
      <c r="O77" s="720"/>
      <c r="P77" s="720"/>
      <c r="Q77" s="720"/>
      <c r="R77" s="720"/>
      <c r="S77" s="720"/>
      <c r="T77" s="721"/>
      <c r="U77" s="71"/>
      <c r="V77" s="464"/>
      <c r="W77" s="481"/>
      <c r="X77" s="464"/>
      <c r="Y77" s="522"/>
      <c r="Z77" s="522"/>
      <c r="AA77" s="522"/>
      <c r="AB77" s="522"/>
    </row>
    <row r="78" spans="1:28" ht="60" x14ac:dyDescent="0.25">
      <c r="A78" s="646" t="s">
        <v>102</v>
      </c>
      <c r="B78" s="7">
        <f>IF(  AND(ISNUMBER(C78),OR(ISNUMBER(D78),D78="PG")),IF(IF(Capa!$B$6="B",0,Capa!$B$6)&gt;=C78,1,0),"")</f>
        <v>0</v>
      </c>
      <c r="C78" s="12">
        <f t="shared" si="13"/>
        <v>2</v>
      </c>
      <c r="D78" s="647">
        <v>44</v>
      </c>
      <c r="E78" s="352" t="s">
        <v>113</v>
      </c>
      <c r="F78" s="513"/>
      <c r="G78" s="468"/>
      <c r="H78" s="241"/>
      <c r="I78" s="29"/>
      <c r="J78" s="425">
        <f t="shared" si="11"/>
        <v>0</v>
      </c>
      <c r="K78" s="471"/>
      <c r="L78" s="697" t="str">
        <f t="shared" si="12"/>
        <v/>
      </c>
      <c r="M78" s="719"/>
      <c r="N78" s="720"/>
      <c r="O78" s="720"/>
      <c r="P78" s="720"/>
      <c r="Q78" s="720"/>
      <c r="R78" s="720"/>
      <c r="S78" s="720"/>
      <c r="T78" s="721"/>
      <c r="U78" s="71"/>
      <c r="V78" s="464"/>
      <c r="W78" s="481"/>
      <c r="X78" s="464"/>
      <c r="Y78" s="522"/>
      <c r="Z78" s="522"/>
      <c r="AA78" s="522"/>
      <c r="AB78" s="522"/>
    </row>
    <row r="79" spans="1:28" ht="67.900000000000006" customHeight="1" x14ac:dyDescent="0.25">
      <c r="A79" s="646" t="s">
        <v>102</v>
      </c>
      <c r="B79" s="7">
        <f>IF(  AND(ISNUMBER(C79),OR(ISNUMBER(D79),D79="PG")),IF(IF(Capa!$B$6="B",0,Capa!$B$6)&gt;=C79,1,0),"")</f>
        <v>0</v>
      </c>
      <c r="C79" s="12">
        <f t="shared" si="13"/>
        <v>2</v>
      </c>
      <c r="D79" s="647">
        <v>45</v>
      </c>
      <c r="E79" s="352" t="s">
        <v>114</v>
      </c>
      <c r="F79" s="513"/>
      <c r="G79" s="468"/>
      <c r="H79" s="241"/>
      <c r="I79" s="29"/>
      <c r="J79" s="425">
        <f t="shared" si="11"/>
        <v>0</v>
      </c>
      <c r="K79" s="471"/>
      <c r="L79" s="697" t="str">
        <f t="shared" si="12"/>
        <v/>
      </c>
      <c r="M79" s="719"/>
      <c r="N79" s="720"/>
      <c r="O79" s="720"/>
      <c r="P79" s="720"/>
      <c r="Q79" s="720"/>
      <c r="R79" s="720"/>
      <c r="S79" s="720"/>
      <c r="T79" s="721"/>
      <c r="U79" s="71"/>
      <c r="V79" s="464"/>
      <c r="W79" s="481"/>
      <c r="X79" s="464"/>
      <c r="Y79" s="522"/>
      <c r="Z79" s="522"/>
      <c r="AA79" s="522"/>
      <c r="AB79" s="522"/>
    </row>
    <row r="80" spans="1:28" ht="51.6" customHeight="1" x14ac:dyDescent="0.25">
      <c r="A80" s="646" t="s">
        <v>102</v>
      </c>
      <c r="B80" s="7">
        <f>IF(  AND(ISNUMBER(C80),OR(ISNUMBER(D80),D80="PG")),IF(IF(Capa!$B$6="B",0,Capa!$B$6)&gt;=C80,1,0),"")</f>
        <v>0</v>
      </c>
      <c r="C80" s="12">
        <f t="shared" si="13"/>
        <v>2</v>
      </c>
      <c r="D80" s="647">
        <v>46</v>
      </c>
      <c r="E80" s="399" t="s">
        <v>115</v>
      </c>
      <c r="F80" s="513"/>
      <c r="G80" s="468"/>
      <c r="H80" s="241"/>
      <c r="I80" s="29"/>
      <c r="J80" s="239"/>
      <c r="K80" s="471"/>
      <c r="L80" s="697" t="str">
        <f t="shared" si="12"/>
        <v/>
      </c>
      <c r="M80" s="719"/>
      <c r="N80" s="720"/>
      <c r="O80" s="720"/>
      <c r="P80" s="720"/>
      <c r="Q80" s="720"/>
      <c r="R80" s="720"/>
      <c r="S80" s="720"/>
      <c r="T80" s="721"/>
      <c r="U80" s="71"/>
      <c r="V80" s="464"/>
      <c r="W80" s="481"/>
      <c r="X80" s="464"/>
      <c r="Y80" s="522"/>
      <c r="Z80" s="522"/>
      <c r="AA80" s="522"/>
      <c r="AB80" s="522"/>
    </row>
    <row r="81" spans="1:28" ht="44.45" customHeight="1" x14ac:dyDescent="0.25">
      <c r="A81" s="646" t="s">
        <v>102</v>
      </c>
      <c r="B81" s="7">
        <f>IF(  AND(ISNUMBER(C81),OR(ISNUMBER(D81),D81="PG")),IF(IF(Capa!$B$6="B",0,Capa!$B$6)&gt;=C81,1,0),"")</f>
        <v>0</v>
      </c>
      <c r="C81" s="12">
        <f t="shared" si="13"/>
        <v>2</v>
      </c>
      <c r="D81" s="647">
        <v>47</v>
      </c>
      <c r="E81" s="399" t="s">
        <v>116</v>
      </c>
      <c r="F81" s="513"/>
      <c r="G81" s="468"/>
      <c r="H81" s="241"/>
      <c r="I81" s="29"/>
      <c r="J81" s="425">
        <f t="shared" ref="J81:J89" si="14">LEN(K81)</f>
        <v>0</v>
      </c>
      <c r="K81" s="471"/>
      <c r="L81" s="697" t="str">
        <f t="shared" si="12"/>
        <v/>
      </c>
      <c r="M81" s="719"/>
      <c r="N81" s="720"/>
      <c r="O81" s="720"/>
      <c r="P81" s="720"/>
      <c r="Q81" s="720"/>
      <c r="R81" s="720"/>
      <c r="S81" s="720"/>
      <c r="T81" s="721"/>
      <c r="U81" s="71"/>
      <c r="V81" s="464"/>
      <c r="W81" s="481"/>
      <c r="X81" s="464"/>
      <c r="Y81" s="522"/>
      <c r="Z81" s="522"/>
      <c r="AA81" s="522"/>
      <c r="AB81" s="522"/>
    </row>
    <row r="82" spans="1:28" ht="6" customHeight="1" x14ac:dyDescent="0.25">
      <c r="A82" s="646" t="s">
        <v>102</v>
      </c>
      <c r="B82" s="7" t="str">
        <f>IF(  AND(ISNUMBER(C82),OR(ISNUMBER(D82),D82="PG")),IF(IF(Capa!$B$6="B",0,Capa!$B$6)&gt;=C82,1,0),"")</f>
        <v/>
      </c>
      <c r="C82" s="12">
        <f t="shared" si="13"/>
        <v>3</v>
      </c>
      <c r="D82" s="647" t="s">
        <v>70</v>
      </c>
      <c r="E82" s="352"/>
      <c r="F82" s="513"/>
      <c r="G82" s="468"/>
      <c r="H82" s="241"/>
      <c r="I82" s="29"/>
      <c r="J82" s="425">
        <f t="shared" si="14"/>
        <v>0</v>
      </c>
      <c r="K82" s="471"/>
      <c r="L82" s="697" t="str">
        <f t="shared" si="12"/>
        <v/>
      </c>
      <c r="M82" s="719"/>
      <c r="N82" s="720"/>
      <c r="O82" s="720"/>
      <c r="P82" s="720"/>
      <c r="Q82" s="720"/>
      <c r="R82" s="720"/>
      <c r="S82" s="720"/>
      <c r="T82" s="721"/>
      <c r="U82" s="71"/>
      <c r="V82" s="464"/>
      <c r="W82" s="481"/>
      <c r="X82" s="464"/>
      <c r="Y82" s="522"/>
      <c r="Z82" s="522"/>
      <c r="AA82" s="522"/>
      <c r="AB82" s="522"/>
    </row>
    <row r="83" spans="1:28" ht="60" x14ac:dyDescent="0.25">
      <c r="A83" s="646" t="s">
        <v>102</v>
      </c>
      <c r="B83" s="7">
        <f>IF(  AND(ISNUMBER(C83),OR(ISNUMBER(D83),D83="PG")),IF(IF(Capa!$B$6="B",0,Capa!$B$6)&gt;=C83,1,0),"")</f>
        <v>0</v>
      </c>
      <c r="C83" s="12">
        <f t="shared" si="13"/>
        <v>3</v>
      </c>
      <c r="D83" s="647">
        <v>48</v>
      </c>
      <c r="E83" s="352" t="s">
        <v>117</v>
      </c>
      <c r="F83" s="513"/>
      <c r="G83" s="468"/>
      <c r="H83" s="241"/>
      <c r="I83" s="29"/>
      <c r="J83" s="425">
        <f t="shared" si="14"/>
        <v>0</v>
      </c>
      <c r="K83" s="471"/>
      <c r="L83" s="697" t="str">
        <f t="shared" si="12"/>
        <v/>
      </c>
      <c r="M83" s="719"/>
      <c r="N83" s="720"/>
      <c r="O83" s="720"/>
      <c r="P83" s="720"/>
      <c r="Q83" s="720"/>
      <c r="R83" s="720"/>
      <c r="S83" s="720"/>
      <c r="T83" s="721"/>
      <c r="U83" s="71"/>
      <c r="V83" s="464"/>
      <c r="W83" s="481"/>
      <c r="X83" s="464"/>
      <c r="Y83" s="522"/>
      <c r="Z83" s="522"/>
      <c r="AA83" s="522"/>
      <c r="AB83" s="522"/>
    </row>
    <row r="84" spans="1:28" ht="60" x14ac:dyDescent="0.25">
      <c r="A84" s="646" t="s">
        <v>102</v>
      </c>
      <c r="B84" s="7">
        <f>IF(  AND(ISNUMBER(C84),OR(ISNUMBER(D84),D84="PG")),IF(IF(Capa!$B$6="B",0,Capa!$B$6)&gt;=C84,1,0),"")</f>
        <v>0</v>
      </c>
      <c r="C84" s="12">
        <f t="shared" si="13"/>
        <v>3</v>
      </c>
      <c r="D84" s="647">
        <v>49</v>
      </c>
      <c r="E84" s="352" t="s">
        <v>118</v>
      </c>
      <c r="F84" s="513"/>
      <c r="G84" s="468"/>
      <c r="H84" s="241"/>
      <c r="I84" s="29"/>
      <c r="J84" s="425">
        <f t="shared" si="14"/>
        <v>0</v>
      </c>
      <c r="K84" s="471"/>
      <c r="L84" s="697" t="str">
        <f t="shared" si="12"/>
        <v/>
      </c>
      <c r="M84" s="719"/>
      <c r="N84" s="720"/>
      <c r="O84" s="720"/>
      <c r="P84" s="720"/>
      <c r="Q84" s="720"/>
      <c r="R84" s="720"/>
      <c r="S84" s="720"/>
      <c r="T84" s="721"/>
      <c r="U84" s="71"/>
      <c r="V84" s="464"/>
      <c r="W84" s="481"/>
      <c r="X84" s="464"/>
      <c r="Y84" s="522"/>
      <c r="Z84" s="522"/>
      <c r="AA84" s="522"/>
      <c r="AB84" s="522"/>
    </row>
    <row r="85" spans="1:28" ht="30" x14ac:dyDescent="0.25">
      <c r="A85" s="646" t="s">
        <v>102</v>
      </c>
      <c r="B85" s="7">
        <f>IF(  AND(ISNUMBER(C85),OR(ISNUMBER(D85),D85="PG")),IF(IF(Capa!$B$6="B",0,Capa!$B$6)&gt;=C85,1,0),"")</f>
        <v>0</v>
      </c>
      <c r="C85" s="12">
        <f t="shared" si="13"/>
        <v>3</v>
      </c>
      <c r="D85" s="647">
        <v>50</v>
      </c>
      <c r="E85" s="352" t="s">
        <v>119</v>
      </c>
      <c r="F85" s="513"/>
      <c r="G85" s="468"/>
      <c r="H85" s="241"/>
      <c r="I85" s="29"/>
      <c r="J85" s="425">
        <f t="shared" si="14"/>
        <v>0</v>
      </c>
      <c r="K85" s="471"/>
      <c r="L85" s="697" t="str">
        <f t="shared" si="12"/>
        <v/>
      </c>
      <c r="M85" s="719"/>
      <c r="N85" s="720"/>
      <c r="O85" s="720"/>
      <c r="P85" s="720"/>
      <c r="Q85" s="720"/>
      <c r="R85" s="720"/>
      <c r="S85" s="720"/>
      <c r="T85" s="721"/>
      <c r="U85" s="71"/>
      <c r="V85" s="464"/>
      <c r="W85" s="481"/>
      <c r="X85" s="464"/>
      <c r="Y85" s="522"/>
      <c r="Z85" s="522"/>
      <c r="AA85" s="522"/>
      <c r="AB85" s="522"/>
    </row>
    <row r="86" spans="1:28" ht="30" x14ac:dyDescent="0.25">
      <c r="A86" s="646" t="s">
        <v>102</v>
      </c>
      <c r="B86" s="7">
        <f>IF(  AND(ISNUMBER(C86),OR(ISNUMBER(D86),D86="PG")),IF(IF(Capa!$B$6="B",0,Capa!$B$6)&gt;=C86,1,0),"")</f>
        <v>0</v>
      </c>
      <c r="C86" s="12">
        <f t="shared" si="13"/>
        <v>3</v>
      </c>
      <c r="D86" s="647">
        <v>51</v>
      </c>
      <c r="E86" s="352" t="s">
        <v>120</v>
      </c>
      <c r="F86" s="513"/>
      <c r="G86" s="468"/>
      <c r="H86" s="241"/>
      <c r="I86" s="29"/>
      <c r="J86" s="425">
        <f t="shared" si="14"/>
        <v>0</v>
      </c>
      <c r="K86" s="471"/>
      <c r="L86" s="697" t="str">
        <f t="shared" si="12"/>
        <v/>
      </c>
      <c r="M86" s="719"/>
      <c r="N86" s="720"/>
      <c r="O86" s="720"/>
      <c r="P86" s="720"/>
      <c r="Q86" s="720"/>
      <c r="R86" s="720"/>
      <c r="S86" s="720"/>
      <c r="T86" s="721"/>
      <c r="U86" s="71"/>
      <c r="V86" s="464"/>
      <c r="W86" s="481"/>
      <c r="X86" s="464"/>
      <c r="Y86" s="522"/>
      <c r="Z86" s="522"/>
      <c r="AA86" s="522"/>
      <c r="AB86" s="522"/>
    </row>
    <row r="87" spans="1:28" ht="45" x14ac:dyDescent="0.25">
      <c r="A87" s="646" t="s">
        <v>102</v>
      </c>
      <c r="B87" s="7">
        <f>IF(  AND(ISNUMBER(C87),OR(ISNUMBER(D87),D87="PG")),IF(IF(Capa!$B$6="B",0,Capa!$B$6)&gt;=C87,1,0),"")</f>
        <v>0</v>
      </c>
      <c r="C87" s="12">
        <f t="shared" si="13"/>
        <v>3</v>
      </c>
      <c r="D87" s="647">
        <v>52</v>
      </c>
      <c r="E87" s="352" t="s">
        <v>121</v>
      </c>
      <c r="F87" s="513"/>
      <c r="G87" s="468"/>
      <c r="H87" s="241"/>
      <c r="I87" s="29"/>
      <c r="J87" s="425">
        <f t="shared" si="14"/>
        <v>0</v>
      </c>
      <c r="K87" s="471"/>
      <c r="L87" s="697" t="str">
        <f t="shared" si="12"/>
        <v/>
      </c>
      <c r="M87" s="719"/>
      <c r="N87" s="720"/>
      <c r="O87" s="720"/>
      <c r="P87" s="720"/>
      <c r="Q87" s="720"/>
      <c r="R87" s="720"/>
      <c r="S87" s="720"/>
      <c r="T87" s="721"/>
      <c r="U87" s="71"/>
      <c r="V87" s="464"/>
      <c r="W87" s="481"/>
      <c r="X87" s="464"/>
      <c r="Y87" s="522"/>
      <c r="Z87" s="522"/>
      <c r="AA87" s="522"/>
      <c r="AB87" s="522"/>
    </row>
    <row r="88" spans="1:28" ht="60" x14ac:dyDescent="0.25">
      <c r="A88" s="646" t="s">
        <v>102</v>
      </c>
      <c r="B88" s="7">
        <f>IF(  AND(ISNUMBER(C88),OR(ISNUMBER(D88),D88="PG")),IF(IF(Capa!$B$6="B",0,Capa!$B$6)&gt;=C88,1,0),"")</f>
        <v>0</v>
      </c>
      <c r="C88" s="12">
        <f t="shared" si="13"/>
        <v>3</v>
      </c>
      <c r="D88" s="647">
        <v>53</v>
      </c>
      <c r="E88" s="352" t="s">
        <v>122</v>
      </c>
      <c r="F88" s="513"/>
      <c r="G88" s="468"/>
      <c r="H88" s="241"/>
      <c r="I88" s="29"/>
      <c r="J88" s="425">
        <f t="shared" ref="J88" si="15">LEN(K88)</f>
        <v>0</v>
      </c>
      <c r="K88" s="471"/>
      <c r="L88" s="697" t="str">
        <f t="shared" si="12"/>
        <v/>
      </c>
      <c r="M88" s="461"/>
      <c r="N88" s="462"/>
      <c r="O88" s="462"/>
      <c r="P88" s="462"/>
      <c r="Q88" s="462"/>
      <c r="R88" s="462"/>
      <c r="S88" s="462"/>
      <c r="T88" s="463"/>
      <c r="U88" s="73"/>
      <c r="V88" s="464"/>
      <c r="W88" s="482"/>
      <c r="X88" s="464"/>
      <c r="Y88" s="522"/>
      <c r="Z88" s="522"/>
      <c r="AA88" s="522"/>
      <c r="AB88" s="522"/>
    </row>
    <row r="89" spans="1:28" ht="45" x14ac:dyDescent="0.25">
      <c r="A89" s="646" t="s">
        <v>102</v>
      </c>
      <c r="B89" s="7">
        <f>IF(  AND(ISNUMBER(C89),OR(ISNUMBER(D89),D89="PG")),IF(IF(Capa!$B$6="B",0,Capa!$B$6)&gt;=C89,1,0),"")</f>
        <v>0</v>
      </c>
      <c r="C89" s="12">
        <f t="shared" si="13"/>
        <v>3</v>
      </c>
      <c r="D89" s="647">
        <v>54</v>
      </c>
      <c r="E89" s="412" t="s">
        <v>123</v>
      </c>
      <c r="F89" s="513"/>
      <c r="G89" s="468"/>
      <c r="H89" s="241"/>
      <c r="I89" s="29"/>
      <c r="J89" s="425">
        <f t="shared" si="14"/>
        <v>0</v>
      </c>
      <c r="K89" s="471"/>
      <c r="L89" s="697" t="str">
        <f t="shared" si="12"/>
        <v/>
      </c>
      <c r="M89" s="719"/>
      <c r="N89" s="720"/>
      <c r="O89" s="720"/>
      <c r="P89" s="720"/>
      <c r="Q89" s="720"/>
      <c r="R89" s="720"/>
      <c r="S89" s="720"/>
      <c r="T89" s="721"/>
      <c r="U89" s="73"/>
      <c r="V89" s="464"/>
      <c r="W89" s="482"/>
      <c r="X89" s="464"/>
      <c r="Y89" s="522"/>
      <c r="Z89" s="522"/>
      <c r="AA89" s="522"/>
      <c r="AB89" s="522"/>
    </row>
    <row r="90" spans="1:28" ht="5.85" customHeight="1" x14ac:dyDescent="0.25">
      <c r="B90" s="7" t="str">
        <f>IF(  AND(ISNUMBER(C90),OR(ISNUMBER(D90),D90="PG")),IF(IF(Capa!$B$6="B",0,Capa!$B$6)&gt;=C90,1,0),"")</f>
        <v/>
      </c>
      <c r="C90" s="12" t="str">
        <f t="shared" si="13"/>
        <v/>
      </c>
      <c r="D90" s="225"/>
      <c r="E90" s="226"/>
      <c r="F90" s="123"/>
      <c r="G90" s="227"/>
      <c r="H90" s="227"/>
      <c r="I90" s="123"/>
      <c r="J90" s="227"/>
      <c r="K90" s="692"/>
      <c r="L90" s="227"/>
      <c r="M90" s="119"/>
      <c r="N90" s="119"/>
      <c r="O90" s="119"/>
      <c r="P90" s="119"/>
      <c r="Q90" s="119"/>
      <c r="R90" s="119"/>
      <c r="S90" s="229"/>
      <c r="T90" s="229"/>
      <c r="U90" s="454"/>
      <c r="V90" s="642"/>
      <c r="W90" s="121"/>
      <c r="X90" s="465"/>
      <c r="Y90" s="465"/>
      <c r="Z90" s="465"/>
      <c r="AA90" s="465"/>
      <c r="AB90" s="465"/>
    </row>
    <row r="91" spans="1:28" ht="25.5" x14ac:dyDescent="0.25">
      <c r="A91" s="210" t="s">
        <v>124</v>
      </c>
      <c r="B91" s="7" t="str">
        <f>IF(  AND(ISNUMBER(C91),OR(ISNUMBER(D91),D91="PG")),IF(IF(Capa!$B$6="B",0,Capa!$B$6)&gt;=C91,1,0),"")</f>
        <v/>
      </c>
      <c r="C91" s="12" t="str">
        <f t="shared" si="13"/>
        <v/>
      </c>
      <c r="D91" s="126"/>
      <c r="E91" s="396" t="s">
        <v>125</v>
      </c>
      <c r="F91" s="381">
        <f>IF(COUNTIFS($A$1:$A$238,"="&amp;A91&amp;"?",$B$1:$B$238,"&gt;0",$D$1:$D$238,"&gt;0")&gt;0,(COUNTIFS($A$1:$A$238,"="&amp;A91&amp;"?",$B$1:$B$238,"&gt;0",$D$1:$D$238,"&gt;0",F$1:F$238,"=S")+COUNTIFS($A$1:$A$238,"="&amp;A91&amp;"?",$B$1:$B$238,"&gt;0",$D$1:$D$238,"&gt;0",$F$1:$F$238,"=P")+COUNTIFS($A$1:$A$238,"="&amp;A91&amp;"?",$B$1:$B$238,"&gt;0",$D$1:$D$238,"&gt;0",F$1:F$238,"=N")+COUNTIFS($A$1:$A$238,"="&amp;A91&amp;"?",$B$1:$B$238,"&gt;0",$D$1:$D$238,"&gt;0",F$1:F$238,"=NA"))/COUNTIFS($A$1:$A$238,"="&amp;A91&amp;"?",$B$1:$B$238,"&gt;0",$D$1:$D$238,"&gt;0"),0)</f>
        <v>0</v>
      </c>
      <c r="G91" s="501"/>
      <c r="H91" s="232"/>
      <c r="I91" s="381">
        <f>IF(COUNTIFS($A$1:$A$238,"="&amp;A91&amp;"?",$B$1:$B$238,"&gt;0",$D$1:$D$238,"&gt;0")&gt;0,
        (COUNTIFS($A$1:$A$238,"="&amp;A91&amp;"?",$B$1:$B$238,"&gt;0",$D$1:$D$238,"&gt;0",F$1:F$238,"=S",I$1:I$238,"") +
         (COUNTIFS($A$1:$A$238,"="&amp;A91&amp;"?",$B$1:$B$238,"&gt;0",$D$1:$D$238,"&gt;0",$F$1:$F$238,"=P",I$1:I$238,"")/2) +
         COUNTIFS($A$1:$A$238,"="&amp;A91&amp;"?",$B$1:$B$238,"&gt;0",$D$1:$D$238,"&gt;0",I$1:I$238,"=S") +
         (COUNTIFS($A$1:$A$238,"="&amp;A91&amp;"?",$B$1:$B$238,"&gt;0",$D$1:$D$238,"&gt;0",I$1:I$238,"=P")/2)
         )/COUNTIFS($A$1:$A$238,"="&amp;A91&amp;"?",$B$1:$B$238,"&gt;0",$D$1:$D$238,"&gt;0"),0)</f>
        <v>0</v>
      </c>
      <c r="J91" s="263"/>
      <c r="K91" s="509"/>
      <c r="L91" s="263"/>
      <c r="M91" s="722">
        <f>(M92*20+N92*10+O92*10+Q92*30+R92*15+S92*15)/100</f>
        <v>0</v>
      </c>
      <c r="N91" s="723"/>
      <c r="O91" s="723"/>
      <c r="P91" s="723"/>
      <c r="Q91" s="723"/>
      <c r="R91" s="723"/>
      <c r="S91" s="723"/>
      <c r="T91" s="724"/>
      <c r="U91" s="450"/>
      <c r="V91" s="597"/>
      <c r="W91" s="489"/>
      <c r="X91" s="580"/>
      <c r="Y91" s="579"/>
      <c r="Z91" s="579"/>
      <c r="AA91" s="579"/>
      <c r="AB91" s="579"/>
    </row>
    <row r="92" spans="1:28" ht="17.100000000000001" customHeight="1" x14ac:dyDescent="0.25">
      <c r="A92" s="210" t="s">
        <v>124</v>
      </c>
      <c r="B92" s="7" t="str">
        <f>IF(  AND(ISNUMBER(C92),OR(ISNUMBER(D92),D92="PG")),IF(IF(Capa!$B$6="B",0,Capa!$B$6)&gt;=C92,1,0),"")</f>
        <v/>
      </c>
      <c r="C92" s="12" t="str">
        <f t="shared" si="13"/>
        <v/>
      </c>
      <c r="D92" s="111"/>
      <c r="E92" s="393">
        <f>IF(SUMIFS($B$1:$B$238,$A$1:$A$238,"="&amp;A91&amp;"?",B$1:B$238,"&gt;0")&lt;=0,0,COUNTIFS($F$1:$F$238,"*",$A$1:$A$238,"="&amp;A91&amp;"?",B$1:B$238,"&gt;0")/SUMIFS($B$1:$B$238,$A$1:$A$238,"="&amp;A91&amp;"?",B$1:B$238,"&gt;0"))</f>
        <v>0</v>
      </c>
      <c r="F92" s="514"/>
      <c r="G92" s="512"/>
      <c r="H92" s="253"/>
      <c r="I92" s="36"/>
      <c r="J92" s="253"/>
      <c r="K92" s="508"/>
      <c r="L92" s="255"/>
      <c r="M92" s="100">
        <f>(COUNTIFS($A$1:$A$238,"="&amp;$A91&amp;"?",$B$1:$B$238,"&gt;0",$D$1:$D$238,"=PG",M$1:M$238,"=1")*(IF(Capa!$B$6="B",100,IF(Capa!$B$6=1,50,IF(Capa!$B$6=2,33,25))))+COUNTIFS($A$1:$A$238,"="&amp;$A91&amp;"?",$B$1:$B$238,"&gt;0",$D$1:$D$238,"=PG",M$1:M$238,"=2")*(IF(Capa!$B$6="B",100,IF(Capa!$B$6=1,100,IF(Capa!$B$6=2,67,50))))+COUNTIFS($A$1:$A$238,"="&amp;$A91&amp;"?",$B$1:$B$238,"&gt;0",$D$1:$D$238,"=PG",M$1:M$238,"=3")*(IF(Capa!$B$6="B",100,IF(Capa!$B$6=1,100,IF(Capa!$B$6=2,100,75))))+COUNTIFS($A$1:$A$238,"="&amp;$A91&amp;"?",$B$1:$B$238,"&gt;0",$D$1:$D$238,"=PG",M$1:M$238,"=4")*100)/(COUNTIFS($A$1:$A$238,"="&amp;$A91&amp;"?",$B$1:$B$238,"&gt;0",$D$1:$D$238,"=PG")*100)</f>
        <v>0</v>
      </c>
      <c r="N92" s="100">
        <f>(COUNTIFS($A$1:$A$238,"="&amp;$A91&amp;"?",$B$1:$B$238,"&gt;0",$D$1:$D$238,"=PG",N$1:N$238,"=1")*(IF(Capa!$B$6="B",100,IF(Capa!$B$6=1,50,IF(Capa!$B$6=2,33,25))))+COUNTIFS($A$1:$A$238,"="&amp;$A91&amp;"?",$B$1:$B$238,"&gt;0",$D$1:$D$238,"=PG",N$1:N$238,"=2")*(IF(Capa!$B$6="B",100,IF(Capa!$B$6=1,100,IF(Capa!$B$6=2,67,50))))+COUNTIFS($A$1:$A$238,"="&amp;$A91&amp;"?",$B$1:$B$238,"&gt;0",$D$1:$D$238,"=PG",N$1:N$238,"=3")*(IF(Capa!$B$6="B",100,IF(Capa!$B$6=1,100,IF(Capa!$B$6=2,100,75))))+COUNTIFS($A$1:$A$238,"="&amp;$A91&amp;"?",$B$1:$B$238,"&gt;0",$D$1:$D$238,"=PG",N$1:N$238,"=4")*100)/(COUNTIFS($A$1:$A$238,"="&amp;$A91&amp;"?",$B$1:$B$238,"&gt;0",$D$1:$D$238,"=PG")*100)</f>
        <v>0</v>
      </c>
      <c r="O92" s="100">
        <f>(COUNTIFS($A$1:$A$238,"="&amp;$A91&amp;"?",$B$1:$B$238,"&gt;0",$D$1:$D$238,"=PG",O$1:O$238,"=1")*(IF(Capa!$B$6="B",100,IF(Capa!$B$6=1,50,IF(Capa!$B$6=2,33,25))))+COUNTIFS($A$1:$A$238,"="&amp;$A91&amp;"?",$B$1:$B$238,"&gt;0",$D$1:$D$238,"=PG",O$1:O$238,"=2")*(IF(Capa!$B$6="B",100,IF(Capa!$B$6=1,100,IF(Capa!$B$6=2,67,50))))+COUNTIFS($A$1:$A$238,"="&amp;$A91&amp;"?",$B$1:$B$238,"&gt;0",$D$1:$D$238,"=PG",O$1:O$238,"=3")*(IF(Capa!$B$6="B",100,IF(Capa!$B$6=1,100,IF(Capa!$B$6=2,100,75))))+COUNTIFS($A$1:$A$238,"="&amp;$A91&amp;"?",$B$1:$B$238,"&gt;0",$D$1:$D$238,"=PG",O$1:O$238,"=4")*100)/(COUNTIFS($A$1:$A$238,"="&amp;$A91&amp;"?",$B$1:$B$238,"&gt;0",$D$1:$D$238,"=PG")*100)</f>
        <v>0</v>
      </c>
      <c r="P92" s="414">
        <f>P95+P116</f>
        <v>0</v>
      </c>
      <c r="Q92" s="100">
        <f>(COUNTIFS($A$1:$A$238,"="&amp;$A91&amp;"?",$B$1:$B$238,"",$L$1:$L$238,"&gt;=0",Q$1:Q$238,"=1")*(IF(Capa!$B$6="B",100,IF(Capa!$B$6=1,50,IF(Capa!$B$6=2,33,25))))+COUNTIFS($A$1:$A$238,"="&amp;$A91&amp;"?",$B$1:$B$238,"",$L$1:$L$238,"&gt;=0",Q$1:Q$238,"=2")*(IF(Capa!$B$6="B",100,IF(Capa!$B$6=1,100,IF(Capa!$B$6=2,67,50))))+COUNTIFS($A$1:$A$238,"="&amp;$A91&amp;"?",$B$1:$B$238,"",$L$1:$L$238,"&gt;=0",Q$1:Q$238,"=3")*(IF(Capa!$B$6="B",100,IF(Capa!$B$6=1,100,IF(Capa!$B$6=2,100,75))))+COUNTIFS($A$1:$A$238,"="&amp;$A91&amp;"?",$B$1:$B$238,"",$L$1:$L$238,"&gt;=0",Q$1:Q$238,"=4")*100)/(COUNTIFS($A$1:$A$238,"="&amp;$A91&amp;"?",$B$1:$B$238,"",$L$1:$L$238,"&gt;=0")*100)</f>
        <v>0</v>
      </c>
      <c r="R92" s="100">
        <f>(COUNTIFS($A$1:$A$238,"="&amp;$A91&amp;"?",$B$1:$B$238,"&gt;0",$D$1:$D$238,"=PG",R$1:R$238,"=1")*(IF(Capa!$B$6="B",100,IF(Capa!$B$6=1,50,IF(Capa!$B$6=2,33,25))))+COUNTIFS($A$1:$A$238,"="&amp;$A91&amp;"?",$B$1:$B$238,"&gt;0",$D$1:$D$238,"=PG",R$1:R$238,"=2")*(IF(Capa!$B$6="B",100,IF(Capa!$B$6=1,100,IF(Capa!$B$6=2,67,50))))+COUNTIFS($A$1:$A$238,"="&amp;$A91&amp;"?",$B$1:$B$238,"&gt;0",$D$1:$D$238,"=PG",R$1:R$238,"=3")*(IF(Capa!$B$6="B",100,IF(Capa!$B$6=1,100,IF(Capa!$B$6=2,100,75))))+COUNTIFS($A$1:$A$238,"="&amp;$A91&amp;"?",$B$1:$B$238,"&gt;0",$D$1:$D$238,"=PG",R$1:R$238,"=4")*100)/(COUNTIFS($A$1:$A$238,"="&amp;$A91&amp;"?",$B$1:$B$238,"&gt;0",$D$1:$D$238,"=PG")*100)</f>
        <v>0</v>
      </c>
      <c r="S92" s="100">
        <f>(COUNTIFS($A$1:$A$238,"="&amp;$A91&amp;"?",$B$1:$B$238,"&gt;0",$D$1:$D$238,"=PG",S$1:S$238,"=1")*(IF(Capa!$B$6="B",100,IF(Capa!$B$6=1,50,IF(Capa!$B$6=2,33,25))))+COUNTIFS($A$1:$A$238,"="&amp;$A91&amp;"?",$B$1:$B$238,"&gt;0",$D$1:$D$238,"=PG",S$1:S$238,"=2")*(IF(Capa!$B$6="B",100,IF(Capa!$B$6=1,100,IF(Capa!$B$6=2,67,50))))+COUNTIFS($A$1:$A$238,"="&amp;$A91&amp;"?",$B$1:$B$238,"&gt;0",$D$1:$D$238,"=PG",S$1:S$238,"=3")*(IF(Capa!$B$6="B",100,IF(Capa!$B$6=1,100,IF(Capa!$B$6=2,100,75))))+COUNTIFS($A$1:$A$238,"="&amp;$A91&amp;"?",$B$1:$B$238,"&gt;0",$D$1:$D$238,"=PG",S$1:S$238,"=4")*100)/(COUNTIFS($A$1:$A$238,"="&amp;$A91&amp;"?",$B$1:$B$238,"&gt;0",$D$1:$D$238,"=PG")*100)</f>
        <v>0</v>
      </c>
      <c r="T92" s="414">
        <f>T95+T116</f>
        <v>0</v>
      </c>
      <c r="U92" s="100"/>
      <c r="V92" s="465"/>
      <c r="W92" s="488"/>
      <c r="X92" s="464"/>
      <c r="Y92" s="522"/>
      <c r="Z92" s="522"/>
      <c r="AA92" s="522"/>
      <c r="AB92" s="522"/>
    </row>
    <row r="93" spans="1:28" ht="21" customHeight="1" x14ac:dyDescent="0.25">
      <c r="A93" s="210" t="s">
        <v>126</v>
      </c>
      <c r="B93" s="7" t="str">
        <f>IF(  AND(ISNUMBER(C93),OR(ISNUMBER(D93),D93="PG")),IF(IF(Capa!$B$6="B",0,Capa!$B$6)&gt;=C93,1,0),"")</f>
        <v/>
      </c>
      <c r="C93" s="12" t="str">
        <f t="shared" si="13"/>
        <v/>
      </c>
      <c r="D93" s="15"/>
      <c r="E93" s="395" t="s">
        <v>127</v>
      </c>
      <c r="F93" s="517"/>
      <c r="G93" s="500"/>
      <c r="H93" s="219"/>
      <c r="I93" s="23"/>
      <c r="J93" s="219"/>
      <c r="K93" s="504"/>
      <c r="L93" s="383">
        <f>IF(AND($B95=1,D95="PG"),IF(COUNTIFS($A$1:$A$238,"="&amp;$A93,$B$1:$B$238,"&gt;0",$D$1:$D$238,"&gt;0")&gt;0,
        (COUNTIFS($A$1:$A$238,"="&amp;$A93,$B$1:$B$238,"&gt;0",$D$1:$D$238,"&gt;0",F$1:F$238,"=S",I$1:I$238,"") +
         (COUNTIFS($A$1:$A$238,"="&amp;$A93,$B$1:$B$238,"&gt;0",$D$1:$D$238,"&gt;0",$F$1:$F$238,"=P",I$1:I$238,"")/2) +
         COUNTIFS($A$1:$A$238,"="&amp;$A93,$B$1:$B$238,"&gt;0",$D$1:$D$238,"&gt;0",I$1:I$238,"=S") +
         (COUNTIFS($A$1:$A$238,"="&amp;$A93,$B$1:$B$238,"&gt;0",$D$1:$D$238,"&gt;0",I$1:I$238,"=P")/2)
         )/COUNTIFS($A$1:$A$238,"="&amp;$A93,$B$1:$B$238,"&gt;0",$D$1:$D$238,"&gt;0"),1),"")</f>
        <v>0</v>
      </c>
      <c r="M93" s="380"/>
      <c r="N93" s="70"/>
      <c r="O93" s="68"/>
      <c r="P93" s="68"/>
      <c r="Q93" s="83">
        <f>IF(L93="","",MIN(IF(ISBLANK(Q95),0,Q95),IF(L93&gt;0.9,4,IF(L93&gt;0.5,3,IF(L93&gt;0.3,2,IF(OR(L93&gt;0,Q95&gt;0),1,0))))))</f>
        <v>0</v>
      </c>
      <c r="R93" s="68"/>
      <c r="S93" s="68"/>
      <c r="T93" s="68"/>
      <c r="U93" s="68"/>
      <c r="V93" s="545"/>
      <c r="W93" s="479"/>
      <c r="X93" s="580"/>
      <c r="Y93" s="579"/>
      <c r="Z93" s="579"/>
      <c r="AA93" s="579"/>
      <c r="AB93" s="579"/>
    </row>
    <row r="94" spans="1:28" ht="5.45" customHeight="1" x14ac:dyDescent="0.25">
      <c r="A94" s="210" t="s">
        <v>126</v>
      </c>
      <c r="B94" s="7" t="str">
        <f>IF(  AND(ISNUMBER(C94),OR(ISNUMBER(D94),D94="PG")),IF(IF(Capa!$B$6="B",0,Capa!$B$6)&gt;=C94,1,0),"")</f>
        <v/>
      </c>
      <c r="C94" s="12">
        <f t="shared" si="13"/>
        <v>0</v>
      </c>
      <c r="D94" s="18" t="s">
        <v>53</v>
      </c>
      <c r="E94" s="394"/>
      <c r="F94" s="516"/>
      <c r="G94" s="498"/>
      <c r="H94" s="239"/>
      <c r="I94" s="26"/>
      <c r="J94" s="239"/>
      <c r="K94" s="503"/>
      <c r="L94" s="240"/>
      <c r="M94" s="69"/>
      <c r="N94" s="69"/>
      <c r="O94" s="69"/>
      <c r="P94" s="69"/>
      <c r="Q94" s="69"/>
      <c r="R94" s="69"/>
      <c r="S94" s="261"/>
      <c r="T94" s="261"/>
      <c r="U94" s="303"/>
      <c r="V94" s="465"/>
      <c r="W94" s="488"/>
      <c r="X94" s="464"/>
      <c r="Y94" s="522"/>
      <c r="Z94" s="522"/>
      <c r="AA94" s="522"/>
      <c r="AB94" s="522"/>
    </row>
    <row r="95" spans="1:28" ht="63.75" x14ac:dyDescent="0.25">
      <c r="A95" s="646" t="s">
        <v>126</v>
      </c>
      <c r="B95" s="7">
        <f>IF(  AND(ISNUMBER(C95),OR(ISNUMBER(D95),D95="PG")),IF(IF(Capa!$B$6="B",0,Capa!$B$6)&gt;=C95,1,0),"")</f>
        <v>1</v>
      </c>
      <c r="C95" s="12">
        <f t="shared" si="13"/>
        <v>0</v>
      </c>
      <c r="D95" s="647" t="s">
        <v>54</v>
      </c>
      <c r="E95" s="389" t="s">
        <v>128</v>
      </c>
      <c r="F95" s="513"/>
      <c r="G95" s="468"/>
      <c r="H95" s="241"/>
      <c r="I95" s="29"/>
      <c r="J95" s="239"/>
      <c r="K95" s="471"/>
      <c r="L95" s="697" t="str">
        <f>IF(OR(AND(NOT(ISBLANK(M95)),M95&lt;IF(Capa!$B$6&lt;&gt;"B",Capa!$B$6+1,1)),AND(NOT(ISBLANK(N95)),N95&lt;IF(Capa!$B$6&lt;&gt;"B",Capa!$B$6+1,1)),AND(NOT(ISBLANK(O95)),O95&lt;IF(Capa!$B$6&lt;&gt;"B",Capa!$B$6+1,1)),AND(NOT(ISBLANK(Q95)),Q95&lt;IF(Capa!$B$6&lt;&gt;"B",Capa!$B$6+1,1)),AND(NOT(ISBLANK(R95)),R95&lt;IF(Capa!$B$6&lt;&gt;"B",Capa!$B$6+1,1)),AND(NOT(ISBLANK(S95)),S95&lt;IF(Capa!$B$6&lt;&gt;"B",Capa!$B$6+1,1))),1,"")</f>
        <v/>
      </c>
      <c r="M95" s="81"/>
      <c r="N95" s="81"/>
      <c r="O95" s="81"/>
      <c r="P95" s="81"/>
      <c r="Q95" s="81"/>
      <c r="R95" s="81"/>
      <c r="S95" s="81"/>
      <c r="T95" s="81"/>
      <c r="U95" s="58"/>
      <c r="V95" s="464"/>
      <c r="W95" s="481"/>
      <c r="X95" s="464"/>
      <c r="Y95" s="522"/>
      <c r="Z95" s="522"/>
      <c r="AA95" s="522"/>
      <c r="AB95" s="522"/>
    </row>
    <row r="96" spans="1:28" ht="45" x14ac:dyDescent="0.25">
      <c r="A96" s="646" t="s">
        <v>126</v>
      </c>
      <c r="B96" s="7">
        <f>IF(  AND(ISNUMBER(C96),OR(ISNUMBER(D96),D96="PG")),IF(IF(Capa!$B$6="B",0,Capa!$B$6)&gt;=C96,1,0),"")</f>
        <v>1</v>
      </c>
      <c r="C96" s="12">
        <f t="shared" si="13"/>
        <v>0</v>
      </c>
      <c r="D96" s="647">
        <v>55</v>
      </c>
      <c r="E96" s="352" t="s">
        <v>129</v>
      </c>
      <c r="F96" s="513"/>
      <c r="G96" s="468"/>
      <c r="H96" s="241"/>
      <c r="I96" s="29"/>
      <c r="J96" s="425">
        <f t="shared" ref="J96:J98" si="16">LEN(K96)</f>
        <v>0</v>
      </c>
      <c r="K96" s="471"/>
      <c r="L96" s="697" t="str">
        <f t="shared" ref="L96:L112" si="17">IF(OR(I96="N",I96="P"),1,"")</f>
        <v/>
      </c>
      <c r="M96" s="719"/>
      <c r="N96" s="720"/>
      <c r="O96" s="720"/>
      <c r="P96" s="720"/>
      <c r="Q96" s="720"/>
      <c r="R96" s="720"/>
      <c r="S96" s="720"/>
      <c r="T96" s="721"/>
      <c r="U96" s="71"/>
      <c r="V96" s="464"/>
      <c r="W96" s="481"/>
      <c r="X96" s="464"/>
      <c r="Y96" s="522"/>
      <c r="Z96" s="522"/>
      <c r="AA96" s="522"/>
      <c r="AB96" s="522"/>
    </row>
    <row r="97" spans="1:28" ht="45" x14ac:dyDescent="0.25">
      <c r="A97" s="646" t="s">
        <v>126</v>
      </c>
      <c r="B97" s="7">
        <f>IF(  AND(ISNUMBER(C97),OR(ISNUMBER(D97),D97="PG")),IF(IF(Capa!$B$6="B",0,Capa!$B$6)&gt;=C97,1,0),"")</f>
        <v>1</v>
      </c>
      <c r="C97" s="12">
        <f t="shared" si="13"/>
        <v>0</v>
      </c>
      <c r="D97" s="647">
        <v>56</v>
      </c>
      <c r="E97" s="352" t="s">
        <v>130</v>
      </c>
      <c r="F97" s="513"/>
      <c r="G97" s="468"/>
      <c r="H97" s="241"/>
      <c r="I97" s="29"/>
      <c r="J97" s="425">
        <f t="shared" si="16"/>
        <v>0</v>
      </c>
      <c r="K97" s="471"/>
      <c r="L97" s="697" t="str">
        <f t="shared" si="17"/>
        <v/>
      </c>
      <c r="M97" s="719"/>
      <c r="N97" s="720"/>
      <c r="O97" s="720"/>
      <c r="P97" s="720"/>
      <c r="Q97" s="720"/>
      <c r="R97" s="720"/>
      <c r="S97" s="720"/>
      <c r="T97" s="721"/>
      <c r="U97" s="71"/>
      <c r="V97" s="464"/>
      <c r="W97" s="481"/>
      <c r="X97" s="464"/>
      <c r="Y97" s="522"/>
      <c r="Z97" s="522"/>
      <c r="AA97" s="522"/>
      <c r="AB97" s="522"/>
    </row>
    <row r="98" spans="1:28" ht="59.45" customHeight="1" x14ac:dyDescent="0.25">
      <c r="A98" s="646" t="s">
        <v>126</v>
      </c>
      <c r="B98" s="7">
        <f>IF(  AND(ISNUMBER(C98),OR(ISNUMBER(D98),D98="PG")),IF(IF(Capa!$B$6="B",0,Capa!$B$6)&gt;=C98,1,0),"")</f>
        <v>1</v>
      </c>
      <c r="C98" s="12">
        <f t="shared" si="13"/>
        <v>0</v>
      </c>
      <c r="D98" s="647">
        <v>57</v>
      </c>
      <c r="E98" s="352" t="s">
        <v>131</v>
      </c>
      <c r="F98" s="513"/>
      <c r="G98" s="468"/>
      <c r="H98" s="241"/>
      <c r="I98" s="29"/>
      <c r="J98" s="425">
        <f t="shared" si="16"/>
        <v>0</v>
      </c>
      <c r="K98" s="471"/>
      <c r="L98" s="697" t="str">
        <f t="shared" si="17"/>
        <v/>
      </c>
      <c r="M98" s="719"/>
      <c r="N98" s="720"/>
      <c r="O98" s="720"/>
      <c r="P98" s="720"/>
      <c r="Q98" s="720"/>
      <c r="R98" s="720"/>
      <c r="S98" s="720"/>
      <c r="T98" s="721"/>
      <c r="U98" s="71"/>
      <c r="V98" s="464"/>
      <c r="W98" s="481"/>
      <c r="X98" s="464"/>
      <c r="Y98" s="522"/>
      <c r="Z98" s="522"/>
      <c r="AA98" s="522"/>
      <c r="AB98" s="522"/>
    </row>
    <row r="99" spans="1:28" ht="6.6" customHeight="1" x14ac:dyDescent="0.25">
      <c r="A99" s="646" t="s">
        <v>126</v>
      </c>
      <c r="B99" s="7" t="str">
        <f>IF(  AND(ISNUMBER(C99),OR(ISNUMBER(D99),D99="PG")),IF(IF(Capa!$B$6="B",0,Capa!$B$6)&gt;=C99,1,0),"")</f>
        <v/>
      </c>
      <c r="C99" s="12">
        <f t="shared" si="13"/>
        <v>1</v>
      </c>
      <c r="D99" s="647" t="s">
        <v>62</v>
      </c>
      <c r="E99" s="352"/>
      <c r="F99" s="513"/>
      <c r="G99" s="468"/>
      <c r="H99" s="241"/>
      <c r="I99" s="29"/>
      <c r="J99" s="239"/>
      <c r="K99" s="471"/>
      <c r="L99" s="697" t="str">
        <f t="shared" si="17"/>
        <v/>
      </c>
      <c r="M99" s="719"/>
      <c r="N99" s="720"/>
      <c r="O99" s="720"/>
      <c r="P99" s="720"/>
      <c r="Q99" s="720"/>
      <c r="R99" s="720"/>
      <c r="S99" s="720"/>
      <c r="T99" s="721"/>
      <c r="U99" s="71"/>
      <c r="V99" s="464"/>
      <c r="W99" s="481"/>
      <c r="X99" s="464"/>
      <c r="Y99" s="522"/>
      <c r="Z99" s="522"/>
      <c r="AA99" s="522"/>
      <c r="AB99" s="522"/>
    </row>
    <row r="100" spans="1:28" ht="30" x14ac:dyDescent="0.25">
      <c r="A100" s="646" t="s">
        <v>126</v>
      </c>
      <c r="B100" s="7">
        <f>IF(  AND(ISNUMBER(C100),OR(ISNUMBER(D100),D100="PG")),IF(IF(Capa!$B$6="B",0,Capa!$B$6)&gt;=C100,1,0),"")</f>
        <v>0</v>
      </c>
      <c r="C100" s="12">
        <f t="shared" si="13"/>
        <v>1</v>
      </c>
      <c r="D100" s="647">
        <v>58</v>
      </c>
      <c r="E100" s="352" t="s">
        <v>132</v>
      </c>
      <c r="F100" s="513"/>
      <c r="G100" s="468"/>
      <c r="H100" s="241"/>
      <c r="I100" s="29"/>
      <c r="J100" s="425">
        <f t="shared" ref="J100:J102" si="18">LEN(K100)</f>
        <v>0</v>
      </c>
      <c r="K100" s="471"/>
      <c r="L100" s="697" t="str">
        <f t="shared" si="17"/>
        <v/>
      </c>
      <c r="M100" s="719"/>
      <c r="N100" s="720"/>
      <c r="O100" s="720"/>
      <c r="P100" s="720"/>
      <c r="Q100" s="720"/>
      <c r="R100" s="720"/>
      <c r="S100" s="720"/>
      <c r="T100" s="721"/>
      <c r="U100" s="71"/>
      <c r="V100" s="464"/>
      <c r="W100" s="481"/>
      <c r="X100" s="464"/>
      <c r="Y100" s="522"/>
      <c r="Z100" s="522"/>
      <c r="AA100" s="522"/>
      <c r="AB100" s="522"/>
    </row>
    <row r="101" spans="1:28" ht="60" x14ac:dyDescent="0.25">
      <c r="A101" s="646" t="s">
        <v>126</v>
      </c>
      <c r="B101" s="7">
        <f>IF(  AND(ISNUMBER(C101),OR(ISNUMBER(D101),D101="PG")),IF(IF(Capa!$B$6="B",0,Capa!$B$6)&gt;=C101,1,0),"")</f>
        <v>0</v>
      </c>
      <c r="C101" s="12">
        <f t="shared" si="13"/>
        <v>1</v>
      </c>
      <c r="D101" s="647">
        <v>59</v>
      </c>
      <c r="E101" s="352" t="s">
        <v>133</v>
      </c>
      <c r="F101" s="513"/>
      <c r="G101" s="468"/>
      <c r="H101" s="241"/>
      <c r="I101" s="29"/>
      <c r="J101" s="425">
        <f t="shared" si="18"/>
        <v>0</v>
      </c>
      <c r="K101" s="471"/>
      <c r="L101" s="697" t="str">
        <f t="shared" si="17"/>
        <v/>
      </c>
      <c r="M101" s="719"/>
      <c r="N101" s="720"/>
      <c r="O101" s="720"/>
      <c r="P101" s="720"/>
      <c r="Q101" s="720"/>
      <c r="R101" s="720"/>
      <c r="S101" s="720"/>
      <c r="T101" s="721"/>
      <c r="U101" s="71"/>
      <c r="V101" s="464"/>
      <c r="W101" s="481"/>
      <c r="X101" s="464"/>
      <c r="Y101" s="522"/>
      <c r="Z101" s="522"/>
      <c r="AA101" s="522"/>
      <c r="AB101" s="522"/>
    </row>
    <row r="102" spans="1:28" ht="45" x14ac:dyDescent="0.25">
      <c r="A102" s="646" t="s">
        <v>126</v>
      </c>
      <c r="B102" s="7">
        <f>IF(  AND(ISNUMBER(C102),OR(ISNUMBER(D102),D102="PG")),IF(IF(Capa!$B$6="B",0,Capa!$B$6)&gt;=C102,1,0),"")</f>
        <v>0</v>
      </c>
      <c r="C102" s="12">
        <f t="shared" si="13"/>
        <v>1</v>
      </c>
      <c r="D102" s="647">
        <v>60</v>
      </c>
      <c r="E102" s="352" t="s">
        <v>134</v>
      </c>
      <c r="F102" s="513"/>
      <c r="G102" s="468"/>
      <c r="H102" s="241"/>
      <c r="I102" s="29"/>
      <c r="J102" s="425">
        <f t="shared" si="18"/>
        <v>0</v>
      </c>
      <c r="K102" s="471"/>
      <c r="L102" s="697" t="str">
        <f t="shared" si="17"/>
        <v/>
      </c>
      <c r="M102" s="719"/>
      <c r="N102" s="720"/>
      <c r="O102" s="720"/>
      <c r="P102" s="720"/>
      <c r="Q102" s="720"/>
      <c r="R102" s="720"/>
      <c r="S102" s="720"/>
      <c r="T102" s="721"/>
      <c r="U102" s="71"/>
      <c r="V102" s="464"/>
      <c r="W102" s="481"/>
      <c r="X102" s="464"/>
      <c r="Y102" s="522"/>
      <c r="Z102" s="522"/>
      <c r="AA102" s="522"/>
      <c r="AB102" s="522"/>
    </row>
    <row r="103" spans="1:28" ht="7.35" customHeight="1" x14ac:dyDescent="0.25">
      <c r="A103" s="646" t="s">
        <v>126</v>
      </c>
      <c r="B103" s="7" t="str">
        <f>IF(  AND(ISNUMBER(C103),OR(ISNUMBER(D103),D103="PG")),IF(IF(Capa!$B$6="B",0,Capa!$B$6)&gt;=C103,1,0),"")</f>
        <v/>
      </c>
      <c r="C103" s="12">
        <f t="shared" si="13"/>
        <v>2</v>
      </c>
      <c r="D103" s="647" t="s">
        <v>64</v>
      </c>
      <c r="E103" s="352"/>
      <c r="F103" s="513"/>
      <c r="G103" s="468"/>
      <c r="H103" s="241"/>
      <c r="I103" s="29"/>
      <c r="J103" s="239"/>
      <c r="K103" s="471"/>
      <c r="L103" s="697" t="str">
        <f t="shared" si="17"/>
        <v/>
      </c>
      <c r="M103" s="719"/>
      <c r="N103" s="720"/>
      <c r="O103" s="720"/>
      <c r="P103" s="720"/>
      <c r="Q103" s="720"/>
      <c r="R103" s="720"/>
      <c r="S103" s="720"/>
      <c r="T103" s="721"/>
      <c r="U103" s="71"/>
      <c r="V103" s="464"/>
      <c r="W103" s="481"/>
      <c r="X103" s="464"/>
      <c r="Y103" s="522"/>
      <c r="Z103" s="522"/>
      <c r="AA103" s="522"/>
      <c r="AB103" s="522"/>
    </row>
    <row r="104" spans="1:28" ht="45" x14ac:dyDescent="0.25">
      <c r="A104" s="646" t="s">
        <v>126</v>
      </c>
      <c r="B104" s="7">
        <f>IF(  AND(ISNUMBER(C104),OR(ISNUMBER(D104),D104="PG")),IF(IF(Capa!$B$6="B",0,Capa!$B$6)&gt;=C104,1,0),"")</f>
        <v>0</v>
      </c>
      <c r="C104" s="12">
        <f t="shared" si="13"/>
        <v>2</v>
      </c>
      <c r="D104" s="647">
        <v>61</v>
      </c>
      <c r="E104" s="352" t="s">
        <v>135</v>
      </c>
      <c r="F104" s="513"/>
      <c r="G104" s="468"/>
      <c r="H104" s="241"/>
      <c r="I104" s="29"/>
      <c r="J104" s="425">
        <f t="shared" ref="J104:J108" si="19">LEN(K104)</f>
        <v>0</v>
      </c>
      <c r="K104" s="471"/>
      <c r="L104" s="697" t="str">
        <f t="shared" si="17"/>
        <v/>
      </c>
      <c r="M104" s="719"/>
      <c r="N104" s="720"/>
      <c r="O104" s="720"/>
      <c r="P104" s="720"/>
      <c r="Q104" s="720"/>
      <c r="R104" s="720"/>
      <c r="S104" s="720"/>
      <c r="T104" s="721"/>
      <c r="U104" s="71"/>
      <c r="V104" s="464"/>
      <c r="W104" s="481"/>
      <c r="X104" s="464"/>
      <c r="Y104" s="522"/>
      <c r="Z104" s="522"/>
      <c r="AA104" s="522"/>
      <c r="AB104" s="522"/>
    </row>
    <row r="105" spans="1:28" ht="75" x14ac:dyDescent="0.25">
      <c r="A105" s="646" t="s">
        <v>126</v>
      </c>
      <c r="B105" s="7">
        <f>IF(  AND(ISNUMBER(C105),OR(ISNUMBER(D105),D105="PG")),IF(IF(Capa!$B$6="B",0,Capa!$B$6)&gt;=C105,1,0),"")</f>
        <v>0</v>
      </c>
      <c r="C105" s="12">
        <f t="shared" si="13"/>
        <v>2</v>
      </c>
      <c r="D105" s="647">
        <v>62</v>
      </c>
      <c r="E105" s="352" t="s">
        <v>136</v>
      </c>
      <c r="F105" s="513"/>
      <c r="G105" s="468"/>
      <c r="H105" s="241"/>
      <c r="I105" s="29"/>
      <c r="J105" s="425">
        <f t="shared" si="19"/>
        <v>0</v>
      </c>
      <c r="K105" s="471"/>
      <c r="L105" s="697" t="str">
        <f t="shared" si="17"/>
        <v/>
      </c>
      <c r="M105" s="719"/>
      <c r="N105" s="720"/>
      <c r="O105" s="720"/>
      <c r="P105" s="720"/>
      <c r="Q105" s="720"/>
      <c r="R105" s="720"/>
      <c r="S105" s="720"/>
      <c r="T105" s="721"/>
      <c r="U105" s="71"/>
      <c r="V105" s="464"/>
      <c r="W105" s="481"/>
      <c r="X105" s="464"/>
      <c r="Y105" s="522"/>
      <c r="Z105" s="522"/>
      <c r="AA105" s="522"/>
      <c r="AB105" s="522"/>
    </row>
    <row r="106" spans="1:28" ht="60" x14ac:dyDescent="0.25">
      <c r="A106" s="646" t="s">
        <v>126</v>
      </c>
      <c r="B106" s="7">
        <f>IF(  AND(ISNUMBER(C106),OR(ISNUMBER(D106),D106="PG")),IF(IF(Capa!$B$6="B",0,Capa!$B$6)&gt;=C106,1,0),"")</f>
        <v>0</v>
      </c>
      <c r="C106" s="12">
        <f t="shared" si="13"/>
        <v>2</v>
      </c>
      <c r="D106" s="647">
        <v>63</v>
      </c>
      <c r="E106" s="352" t="s">
        <v>137</v>
      </c>
      <c r="F106" s="513"/>
      <c r="G106" s="468"/>
      <c r="H106" s="241"/>
      <c r="I106" s="29"/>
      <c r="J106" s="425">
        <f t="shared" si="19"/>
        <v>0</v>
      </c>
      <c r="K106" s="471"/>
      <c r="L106" s="697" t="str">
        <f t="shared" si="17"/>
        <v/>
      </c>
      <c r="M106" s="719"/>
      <c r="N106" s="720"/>
      <c r="O106" s="720"/>
      <c r="P106" s="720"/>
      <c r="Q106" s="720"/>
      <c r="R106" s="720"/>
      <c r="S106" s="720"/>
      <c r="T106" s="721"/>
      <c r="U106" s="71"/>
      <c r="V106" s="464"/>
      <c r="W106" s="481"/>
      <c r="X106" s="464"/>
      <c r="Y106" s="522"/>
      <c r="Z106" s="522"/>
      <c r="AA106" s="522"/>
      <c r="AB106" s="522"/>
    </row>
    <row r="107" spans="1:28" ht="30" x14ac:dyDescent="0.25">
      <c r="A107" s="646" t="s">
        <v>126</v>
      </c>
      <c r="B107" s="7">
        <f>IF(  AND(ISNUMBER(C107),OR(ISNUMBER(D107),D107="PG")),IF(IF(Capa!$B$6="B",0,Capa!$B$6)&gt;=C107,1,0),"")</f>
        <v>0</v>
      </c>
      <c r="C107" s="12">
        <f t="shared" si="13"/>
        <v>2</v>
      </c>
      <c r="D107" s="647">
        <v>64</v>
      </c>
      <c r="E107" s="352" t="s">
        <v>138</v>
      </c>
      <c r="F107" s="513"/>
      <c r="G107" s="468"/>
      <c r="H107" s="241"/>
      <c r="I107" s="29"/>
      <c r="J107" s="425">
        <f t="shared" si="19"/>
        <v>0</v>
      </c>
      <c r="K107" s="471"/>
      <c r="L107" s="697" t="str">
        <f t="shared" si="17"/>
        <v/>
      </c>
      <c r="M107" s="719"/>
      <c r="N107" s="720"/>
      <c r="O107" s="720"/>
      <c r="P107" s="720"/>
      <c r="Q107" s="720"/>
      <c r="R107" s="720"/>
      <c r="S107" s="720"/>
      <c r="T107" s="721"/>
      <c r="U107" s="71"/>
      <c r="V107" s="464"/>
      <c r="W107" s="481"/>
      <c r="X107" s="464"/>
      <c r="Y107" s="522"/>
      <c r="Z107" s="522"/>
      <c r="AA107" s="522"/>
      <c r="AB107" s="522"/>
    </row>
    <row r="108" spans="1:28" ht="45" x14ac:dyDescent="0.25">
      <c r="A108" s="646" t="s">
        <v>126</v>
      </c>
      <c r="B108" s="7">
        <f>IF(  AND(ISNUMBER(C108),OR(ISNUMBER(D108),D108="PG")),IF(IF(Capa!$B$6="B",0,Capa!$B$6)&gt;=C108,1,0),"")</f>
        <v>0</v>
      </c>
      <c r="C108" s="12">
        <f t="shared" si="13"/>
        <v>2</v>
      </c>
      <c r="D108" s="647">
        <v>65</v>
      </c>
      <c r="E108" s="352" t="s">
        <v>139</v>
      </c>
      <c r="F108" s="513"/>
      <c r="G108" s="468"/>
      <c r="H108" s="241"/>
      <c r="I108" s="29"/>
      <c r="J108" s="425">
        <f t="shared" si="19"/>
        <v>0</v>
      </c>
      <c r="K108" s="471"/>
      <c r="L108" s="697" t="str">
        <f t="shared" si="17"/>
        <v/>
      </c>
      <c r="M108" s="719"/>
      <c r="N108" s="720"/>
      <c r="O108" s="720"/>
      <c r="P108" s="720"/>
      <c r="Q108" s="720"/>
      <c r="R108" s="720"/>
      <c r="S108" s="720"/>
      <c r="T108" s="721"/>
      <c r="U108" s="71"/>
      <c r="V108" s="464"/>
      <c r="W108" s="481"/>
      <c r="X108" s="464"/>
      <c r="Y108" s="522"/>
      <c r="Z108" s="522"/>
      <c r="AA108" s="522"/>
      <c r="AB108" s="522"/>
    </row>
    <row r="109" spans="1:28" ht="6.6" customHeight="1" x14ac:dyDescent="0.25">
      <c r="A109" s="646" t="s">
        <v>126</v>
      </c>
      <c r="B109" s="7" t="str">
        <f>IF(  AND(ISNUMBER(C109),OR(ISNUMBER(D109),D109="PG")),IF(IF(Capa!$B$6="B",0,Capa!$B$6)&gt;=C109,1,0),"")</f>
        <v/>
      </c>
      <c r="C109" s="12">
        <f t="shared" si="13"/>
        <v>3</v>
      </c>
      <c r="D109" s="647" t="s">
        <v>70</v>
      </c>
      <c r="E109" s="352"/>
      <c r="F109" s="513"/>
      <c r="G109" s="468"/>
      <c r="H109" s="241"/>
      <c r="I109" s="29"/>
      <c r="J109" s="239"/>
      <c r="K109" s="471"/>
      <c r="L109" s="697" t="str">
        <f t="shared" si="17"/>
        <v/>
      </c>
      <c r="M109" s="719"/>
      <c r="N109" s="720"/>
      <c r="O109" s="720"/>
      <c r="P109" s="720"/>
      <c r="Q109" s="720"/>
      <c r="R109" s="720"/>
      <c r="S109" s="720"/>
      <c r="T109" s="721"/>
      <c r="U109" s="71"/>
      <c r="V109" s="464"/>
      <c r="W109" s="481"/>
      <c r="X109" s="464"/>
      <c r="Y109" s="522"/>
      <c r="Z109" s="522"/>
      <c r="AA109" s="522"/>
      <c r="AB109" s="522"/>
    </row>
    <row r="110" spans="1:28" ht="60" x14ac:dyDescent="0.25">
      <c r="A110" s="646" t="s">
        <v>126</v>
      </c>
      <c r="B110" s="7">
        <f>IF(  AND(ISNUMBER(C110),OR(ISNUMBER(D110),D110="PG")),IF(IF(Capa!$B$6="B",0,Capa!$B$6)&gt;=C110,1,0),"")</f>
        <v>0</v>
      </c>
      <c r="C110" s="12">
        <f t="shared" si="13"/>
        <v>3</v>
      </c>
      <c r="D110" s="647">
        <v>66</v>
      </c>
      <c r="E110" s="352" t="s">
        <v>140</v>
      </c>
      <c r="F110" s="513"/>
      <c r="G110" s="468"/>
      <c r="H110" s="241"/>
      <c r="I110" s="29"/>
      <c r="J110" s="425">
        <f t="shared" ref="J110:J112" si="20">LEN(K110)</f>
        <v>0</v>
      </c>
      <c r="K110" s="471"/>
      <c r="L110" s="697" t="str">
        <f t="shared" si="17"/>
        <v/>
      </c>
      <c r="M110" s="719"/>
      <c r="N110" s="720"/>
      <c r="O110" s="720"/>
      <c r="P110" s="720"/>
      <c r="Q110" s="720"/>
      <c r="R110" s="720"/>
      <c r="S110" s="720"/>
      <c r="T110" s="721"/>
      <c r="U110" s="71"/>
      <c r="V110" s="464"/>
      <c r="W110" s="481"/>
      <c r="X110" s="464"/>
      <c r="Y110" s="522"/>
      <c r="Z110" s="522"/>
      <c r="AA110" s="522"/>
      <c r="AB110" s="522"/>
    </row>
    <row r="111" spans="1:28" ht="60" x14ac:dyDescent="0.25">
      <c r="A111" s="646" t="s">
        <v>126</v>
      </c>
      <c r="B111" s="7">
        <f>IF(  AND(ISNUMBER(C111),OR(ISNUMBER(D111),D111="PG")),IF(IF(Capa!$B$6="B",0,Capa!$B$6)&gt;=C111,1,0),"")</f>
        <v>0</v>
      </c>
      <c r="C111" s="12">
        <f t="shared" si="13"/>
        <v>3</v>
      </c>
      <c r="D111" s="647">
        <v>67</v>
      </c>
      <c r="E111" s="352" t="s">
        <v>141</v>
      </c>
      <c r="F111" s="513"/>
      <c r="G111" s="468"/>
      <c r="H111" s="241"/>
      <c r="I111" s="29"/>
      <c r="J111" s="425">
        <f t="shared" si="20"/>
        <v>0</v>
      </c>
      <c r="K111" s="471"/>
      <c r="L111" s="697" t="str">
        <f t="shared" si="17"/>
        <v/>
      </c>
      <c r="M111" s="719"/>
      <c r="N111" s="720"/>
      <c r="O111" s="720"/>
      <c r="P111" s="720"/>
      <c r="Q111" s="720"/>
      <c r="R111" s="720"/>
      <c r="S111" s="720"/>
      <c r="T111" s="721"/>
      <c r="U111" s="71"/>
      <c r="V111" s="464"/>
      <c r="W111" s="481"/>
      <c r="X111" s="464"/>
      <c r="Y111" s="522"/>
      <c r="Z111" s="522"/>
      <c r="AA111" s="522"/>
      <c r="AB111" s="522"/>
    </row>
    <row r="112" spans="1:28" ht="45" x14ac:dyDescent="0.25">
      <c r="A112" s="646" t="s">
        <v>126</v>
      </c>
      <c r="B112" s="7">
        <f>IF(  AND(ISNUMBER(C112),OR(ISNUMBER(D112),D112="PG")),IF(IF(Capa!$B$6="B",0,Capa!$B$6)&gt;=C112,1,0),"")</f>
        <v>0</v>
      </c>
      <c r="C112" s="12">
        <f t="shared" si="13"/>
        <v>3</v>
      </c>
      <c r="D112" s="647">
        <v>68</v>
      </c>
      <c r="E112" s="412" t="s">
        <v>142</v>
      </c>
      <c r="F112" s="513"/>
      <c r="G112" s="468"/>
      <c r="H112" s="241"/>
      <c r="I112" s="29"/>
      <c r="J112" s="425">
        <f t="shared" si="20"/>
        <v>0</v>
      </c>
      <c r="K112" s="471"/>
      <c r="L112" s="697" t="str">
        <f t="shared" si="17"/>
        <v/>
      </c>
      <c r="M112" s="719"/>
      <c r="N112" s="720"/>
      <c r="O112" s="720"/>
      <c r="P112" s="720"/>
      <c r="Q112" s="720"/>
      <c r="R112" s="720"/>
      <c r="S112" s="720"/>
      <c r="T112" s="721"/>
      <c r="U112" s="73"/>
      <c r="V112" s="464"/>
      <c r="W112" s="482"/>
      <c r="X112" s="464"/>
      <c r="Y112" s="522"/>
      <c r="Z112" s="522"/>
      <c r="AA112" s="522"/>
      <c r="AB112" s="522"/>
    </row>
    <row r="113" spans="1:28" ht="5.85" customHeight="1" x14ac:dyDescent="0.25">
      <c r="B113" s="7" t="str">
        <f>IF(  AND(ISNUMBER(C113),OR(ISNUMBER(D113),D113="PG")),IF(IF(Capa!$B$6="B",0,Capa!$B$6)&gt;=C113,1,0),"")</f>
        <v/>
      </c>
      <c r="C113" s="12" t="str">
        <f t="shared" si="13"/>
        <v/>
      </c>
      <c r="D113" s="225"/>
      <c r="E113" s="226"/>
      <c r="F113" s="123"/>
      <c r="G113" s="227"/>
      <c r="H113" s="227"/>
      <c r="I113" s="123"/>
      <c r="J113" s="227"/>
      <c r="K113" s="692"/>
      <c r="L113" s="227"/>
      <c r="M113" s="119"/>
      <c r="N113" s="119"/>
      <c r="O113" s="119"/>
      <c r="P113" s="119"/>
      <c r="Q113" s="119"/>
      <c r="R113" s="119"/>
      <c r="S113" s="229"/>
      <c r="T113" s="229"/>
      <c r="U113" s="454"/>
      <c r="V113" s="642"/>
      <c r="W113" s="121"/>
      <c r="X113" s="465"/>
      <c r="Y113" s="465"/>
      <c r="Z113" s="465"/>
      <c r="AA113" s="465"/>
      <c r="AB113" s="465"/>
    </row>
    <row r="114" spans="1:28" ht="21.6" customHeight="1" x14ac:dyDescent="0.25">
      <c r="A114" s="210" t="s">
        <v>143</v>
      </c>
      <c r="B114" s="7" t="str">
        <f>IF(  AND(ISNUMBER(C114),OR(ISNUMBER(D114),D114="PG")),IF(IF(Capa!$B$6="B",0,Capa!$B$6)&gt;=C114,1,0),"")</f>
        <v/>
      </c>
      <c r="C114" s="12" t="str">
        <f t="shared" si="13"/>
        <v/>
      </c>
      <c r="D114" s="15"/>
      <c r="E114" s="395" t="s">
        <v>144</v>
      </c>
      <c r="F114" s="513"/>
      <c r="G114" s="500"/>
      <c r="H114" s="219"/>
      <c r="I114" s="23"/>
      <c r="J114" s="219"/>
      <c r="K114" s="504"/>
      <c r="L114" s="383">
        <f>IF(AND($B116=1,D116="PG"),IF(COUNTIFS($A$1:$A$238,"="&amp;$A114,$B$1:$B$238,"&gt;0",$D$1:$D$238,"&gt;0")&gt;0,
        (COUNTIFS($A$1:$A$238,"="&amp;$A114,$B$1:$B$238,"&gt;0",$D$1:$D$238,"&gt;0",F$1:F$238,"=S",I$1:I$238,"") +
         (COUNTIFS($A$1:$A$238,"="&amp;$A114,$B$1:$B$238,"&gt;0",$D$1:$D$238,"&gt;0",$F$1:$F$238,"=P",I$1:I$238,"")/2) +
         COUNTIFS($A$1:$A$238,"="&amp;$A114,$B$1:$B$238,"&gt;0",$D$1:$D$238,"&gt;0",I$1:I$238,"=S") +
         (COUNTIFS($A$1:$A$238,"="&amp;$A114,$B$1:$B$238,"&gt;0",$D$1:$D$238,"&gt;0",I$1:I$238,"=P")/2)
         )/COUNTIFS($A$1:$A$238,"="&amp;$A114,$B$1:$B$238,"&gt;0",$D$1:$D$238,"&gt;0"),1),"")</f>
        <v>0</v>
      </c>
      <c r="M114" s="380"/>
      <c r="N114" s="70"/>
      <c r="O114" s="68"/>
      <c r="P114" s="68"/>
      <c r="Q114" s="83">
        <f>IF(L114="","",MIN(IF(ISBLANK(Q116),0,Q116),IF(L114&gt;0.9,4,IF(L114&gt;0.5,3,IF(L114&gt;0.3,2,IF(OR(L114&gt;0,Q116&gt;0),1,0))))))</f>
        <v>0</v>
      </c>
      <c r="R114" s="68"/>
      <c r="S114" s="68"/>
      <c r="T114" s="68"/>
      <c r="U114" s="68"/>
      <c r="V114" s="545"/>
      <c r="W114" s="479"/>
      <c r="X114" s="580"/>
      <c r="Y114" s="579"/>
      <c r="Z114" s="579"/>
      <c r="AA114" s="579"/>
      <c r="AB114" s="579"/>
    </row>
    <row r="115" spans="1:28" ht="7.7" hidden="1" customHeight="1" x14ac:dyDescent="0.25">
      <c r="A115" s="210" t="s">
        <v>143</v>
      </c>
      <c r="B115" s="7" t="str">
        <f>IF(  AND(ISNUMBER(C115),OR(ISNUMBER(D115),D115="PG")),IF(IF(Capa!$B$6="B",0,Capa!$B$6)&gt;=C115,1,0),"")</f>
        <v/>
      </c>
      <c r="C115" s="12">
        <f t="shared" si="13"/>
        <v>0</v>
      </c>
      <c r="D115" s="18" t="s">
        <v>53</v>
      </c>
      <c r="E115" s="394"/>
      <c r="F115" s="513"/>
      <c r="G115" s="498"/>
      <c r="H115" s="239"/>
      <c r="I115" s="26"/>
      <c r="J115" s="239"/>
      <c r="K115" s="503"/>
      <c r="L115" s="240"/>
      <c r="M115" s="69"/>
      <c r="N115" s="69"/>
      <c r="O115" s="69"/>
      <c r="P115" s="69"/>
      <c r="Q115" s="69"/>
      <c r="R115" s="69"/>
      <c r="S115" s="261"/>
      <c r="T115" s="261"/>
      <c r="U115" s="303"/>
      <c r="V115" s="465"/>
      <c r="W115" s="488"/>
      <c r="X115" s="464"/>
      <c r="Y115" s="522"/>
      <c r="Z115" s="522"/>
      <c r="AA115" s="522"/>
      <c r="AB115" s="522"/>
    </row>
    <row r="116" spans="1:28" ht="76.5" x14ac:dyDescent="0.25">
      <c r="A116" s="646" t="s">
        <v>143</v>
      </c>
      <c r="B116" s="7">
        <f>IF(  AND(ISNUMBER(C116),OR(ISNUMBER(D116),D116="PG")),IF(IF(Capa!$B$6="B",0,Capa!$B$6)&gt;=C116,1,0),"")</f>
        <v>1</v>
      </c>
      <c r="C116" s="12">
        <f t="shared" si="13"/>
        <v>0</v>
      </c>
      <c r="D116" s="647" t="s">
        <v>54</v>
      </c>
      <c r="E116" s="389" t="s">
        <v>145</v>
      </c>
      <c r="F116" s="513"/>
      <c r="G116" s="468"/>
      <c r="H116" s="241"/>
      <c r="I116" s="29"/>
      <c r="J116" s="239"/>
      <c r="K116" s="471"/>
      <c r="L116" s="697" t="str">
        <f>IF(OR(AND(NOT(ISBLANK(M116)),M116&lt;IF(Capa!$B$6&lt;&gt;"B",Capa!$B$6+1,1)),AND(NOT(ISBLANK(N116)),N116&lt;IF(Capa!$B$6&lt;&gt;"B",Capa!$B$6+1,1)),AND(NOT(ISBLANK(O116)),O116&lt;IF(Capa!$B$6&lt;&gt;"B",Capa!$B$6+1,1)),AND(NOT(ISBLANK(Q116)),Q116&lt;IF(Capa!$B$6&lt;&gt;"B",Capa!$B$6+1,1)),AND(NOT(ISBLANK(R116)),R116&lt;IF(Capa!$B$6&lt;&gt;"B",Capa!$B$6+1,1)),AND(NOT(ISBLANK(S116)),S116&lt;IF(Capa!$B$6&lt;&gt;"B",Capa!$B$6+1,1))),1,"")</f>
        <v/>
      </c>
      <c r="M116" s="81"/>
      <c r="N116" s="81"/>
      <c r="O116" s="81"/>
      <c r="P116" s="81"/>
      <c r="Q116" s="81"/>
      <c r="R116" s="81"/>
      <c r="S116" s="81"/>
      <c r="T116" s="81"/>
      <c r="U116" s="58"/>
      <c r="V116" s="464"/>
      <c r="W116" s="481"/>
      <c r="X116" s="464"/>
      <c r="Y116" s="522"/>
      <c r="Z116" s="522"/>
      <c r="AA116" s="522"/>
      <c r="AB116" s="522"/>
    </row>
    <row r="117" spans="1:28" ht="50.45" customHeight="1" x14ac:dyDescent="0.25">
      <c r="A117" s="646" t="s">
        <v>143</v>
      </c>
      <c r="B117" s="7">
        <f>IF(  AND(ISNUMBER(C117),OR(ISNUMBER(D117),D117="PG")),IF(IF(Capa!$B$6="B",0,Capa!$B$6)&gt;=C117,1,0),"")</f>
        <v>1</v>
      </c>
      <c r="C117" s="12">
        <f t="shared" si="13"/>
        <v>0</v>
      </c>
      <c r="D117" s="647">
        <v>69</v>
      </c>
      <c r="E117" s="352" t="s">
        <v>146</v>
      </c>
      <c r="F117" s="513"/>
      <c r="G117" s="468"/>
      <c r="H117" s="241"/>
      <c r="I117" s="29"/>
      <c r="J117" s="425">
        <f t="shared" ref="J117:J118" si="21">LEN(K117)</f>
        <v>0</v>
      </c>
      <c r="K117" s="471"/>
      <c r="L117" s="697" t="str">
        <f t="shared" ref="L117:L128" si="22">IF(OR(I117="N",I117="P"),1,"")</f>
        <v/>
      </c>
      <c r="M117" s="719"/>
      <c r="N117" s="720"/>
      <c r="O117" s="720"/>
      <c r="P117" s="720"/>
      <c r="Q117" s="720"/>
      <c r="R117" s="720"/>
      <c r="S117" s="720"/>
      <c r="T117" s="721"/>
      <c r="U117" s="71"/>
      <c r="V117" s="464"/>
      <c r="W117" s="481"/>
      <c r="X117" s="464"/>
      <c r="Y117" s="522"/>
      <c r="Z117" s="522"/>
      <c r="AA117" s="522"/>
      <c r="AB117" s="522"/>
    </row>
    <row r="118" spans="1:28" ht="42" customHeight="1" x14ac:dyDescent="0.25">
      <c r="A118" s="646" t="s">
        <v>143</v>
      </c>
      <c r="B118" s="7">
        <f>IF(  AND(ISNUMBER(C118),OR(ISNUMBER(D118),D118="PG")),IF(IF(Capa!$B$6="B",0,Capa!$B$6)&gt;=C118,1,0),"")</f>
        <v>1</v>
      </c>
      <c r="C118" s="12">
        <f t="shared" si="13"/>
        <v>0</v>
      </c>
      <c r="D118" s="647">
        <v>70</v>
      </c>
      <c r="E118" s="352" t="s">
        <v>147</v>
      </c>
      <c r="F118" s="513"/>
      <c r="G118" s="468"/>
      <c r="H118" s="241"/>
      <c r="I118" s="29"/>
      <c r="J118" s="425">
        <f t="shared" si="21"/>
        <v>0</v>
      </c>
      <c r="K118" s="471"/>
      <c r="L118" s="697" t="str">
        <f t="shared" si="22"/>
        <v/>
      </c>
      <c r="M118" s="719"/>
      <c r="N118" s="720"/>
      <c r="O118" s="720"/>
      <c r="P118" s="720"/>
      <c r="Q118" s="720"/>
      <c r="R118" s="720"/>
      <c r="S118" s="720"/>
      <c r="T118" s="721"/>
      <c r="U118" s="71"/>
      <c r="V118" s="464"/>
      <c r="W118" s="481"/>
      <c r="X118" s="464"/>
      <c r="Y118" s="522"/>
      <c r="Z118" s="522"/>
      <c r="AA118" s="522"/>
      <c r="AB118" s="522"/>
    </row>
    <row r="119" spans="1:28" ht="6.6" customHeight="1" x14ac:dyDescent="0.25">
      <c r="A119" s="646" t="s">
        <v>143</v>
      </c>
      <c r="B119" s="7" t="str">
        <f>IF(  AND(ISNUMBER(C119),OR(ISNUMBER(D119),D119="PG")),IF(IF(Capa!$B$6="B",0,Capa!$B$6)&gt;=C119,1,0),"")</f>
        <v/>
      </c>
      <c r="C119" s="12">
        <f t="shared" si="13"/>
        <v>1</v>
      </c>
      <c r="D119" s="647" t="s">
        <v>62</v>
      </c>
      <c r="E119" s="352"/>
      <c r="F119" s="513"/>
      <c r="G119" s="468"/>
      <c r="H119" s="241"/>
      <c r="I119" s="29"/>
      <c r="J119" s="239"/>
      <c r="K119" s="471"/>
      <c r="L119" s="697" t="str">
        <f t="shared" si="22"/>
        <v/>
      </c>
      <c r="M119" s="719"/>
      <c r="N119" s="720"/>
      <c r="O119" s="720"/>
      <c r="P119" s="720"/>
      <c r="Q119" s="720"/>
      <c r="R119" s="720"/>
      <c r="S119" s="720"/>
      <c r="T119" s="721"/>
      <c r="U119" s="71"/>
      <c r="V119" s="464"/>
      <c r="W119" s="481"/>
      <c r="X119" s="464"/>
      <c r="Y119" s="522"/>
      <c r="Z119" s="522"/>
      <c r="AA119" s="522"/>
      <c r="AB119" s="522"/>
    </row>
    <row r="120" spans="1:28" ht="30" x14ac:dyDescent="0.25">
      <c r="A120" s="646" t="s">
        <v>143</v>
      </c>
      <c r="B120" s="7">
        <f>IF(  AND(ISNUMBER(C120),OR(ISNUMBER(D120),D120="PG")),IF(IF(Capa!$B$6="B",0,Capa!$B$6)&gt;=C120,1,0),"")</f>
        <v>0</v>
      </c>
      <c r="C120" s="12">
        <f t="shared" si="13"/>
        <v>1</v>
      </c>
      <c r="D120" s="647">
        <v>71</v>
      </c>
      <c r="E120" s="352" t="s">
        <v>148</v>
      </c>
      <c r="F120" s="513"/>
      <c r="G120" s="468"/>
      <c r="H120" s="241"/>
      <c r="I120" s="29"/>
      <c r="J120" s="425">
        <f t="shared" ref="J120:J125" si="23">LEN(K120)</f>
        <v>0</v>
      </c>
      <c r="K120" s="471"/>
      <c r="L120" s="697" t="str">
        <f t="shared" si="22"/>
        <v/>
      </c>
      <c r="M120" s="719"/>
      <c r="N120" s="720"/>
      <c r="O120" s="720"/>
      <c r="P120" s="720"/>
      <c r="Q120" s="720"/>
      <c r="R120" s="720"/>
      <c r="S120" s="720"/>
      <c r="T120" s="721"/>
      <c r="U120" s="71"/>
      <c r="V120" s="464"/>
      <c r="W120" s="481"/>
      <c r="X120" s="464"/>
      <c r="Y120" s="522"/>
      <c r="Z120" s="522"/>
      <c r="AA120" s="522"/>
      <c r="AB120" s="522"/>
    </row>
    <row r="121" spans="1:28" ht="30" x14ac:dyDescent="0.25">
      <c r="A121" s="646" t="s">
        <v>143</v>
      </c>
      <c r="B121" s="7">
        <f>IF(  AND(ISNUMBER(C121),OR(ISNUMBER(D121),D121="PG")),IF(IF(Capa!$B$6="B",0,Capa!$B$6)&gt;=C121,1,0),"")</f>
        <v>0</v>
      </c>
      <c r="C121" s="12">
        <f t="shared" si="13"/>
        <v>1</v>
      </c>
      <c r="D121" s="647">
        <v>72</v>
      </c>
      <c r="E121" s="352" t="s">
        <v>149</v>
      </c>
      <c r="F121" s="513"/>
      <c r="G121" s="468"/>
      <c r="H121" s="241"/>
      <c r="I121" s="29"/>
      <c r="J121" s="425">
        <f t="shared" si="23"/>
        <v>0</v>
      </c>
      <c r="K121" s="471"/>
      <c r="L121" s="697" t="str">
        <f t="shared" si="22"/>
        <v/>
      </c>
      <c r="M121" s="719"/>
      <c r="N121" s="720"/>
      <c r="O121" s="720"/>
      <c r="P121" s="720"/>
      <c r="Q121" s="720"/>
      <c r="R121" s="720"/>
      <c r="S121" s="720"/>
      <c r="T121" s="721"/>
      <c r="U121" s="71"/>
      <c r="V121" s="464"/>
      <c r="W121" s="481"/>
      <c r="X121" s="464"/>
      <c r="Y121" s="522"/>
      <c r="Z121" s="522"/>
      <c r="AA121" s="522"/>
      <c r="AB121" s="522"/>
    </row>
    <row r="122" spans="1:28" ht="7.35" customHeight="1" x14ac:dyDescent="0.25">
      <c r="A122" s="646" t="s">
        <v>143</v>
      </c>
      <c r="B122" s="7" t="str">
        <f>IF(  AND(ISNUMBER(C122),OR(ISNUMBER(D122),D122="PG")),IF(IF(Capa!$B$6="B",0,Capa!$B$6)&gt;=C122,1,0),"")</f>
        <v/>
      </c>
      <c r="C122" s="12">
        <f t="shared" si="13"/>
        <v>2</v>
      </c>
      <c r="D122" s="647" t="s">
        <v>64</v>
      </c>
      <c r="E122" s="352"/>
      <c r="F122" s="513"/>
      <c r="G122" s="468"/>
      <c r="H122" s="241"/>
      <c r="I122" s="29"/>
      <c r="J122" s="425">
        <f t="shared" si="23"/>
        <v>0</v>
      </c>
      <c r="K122" s="471"/>
      <c r="L122" s="697" t="str">
        <f t="shared" si="22"/>
        <v/>
      </c>
      <c r="M122" s="719"/>
      <c r="N122" s="720"/>
      <c r="O122" s="720"/>
      <c r="P122" s="720"/>
      <c r="Q122" s="720"/>
      <c r="R122" s="720"/>
      <c r="S122" s="720"/>
      <c r="T122" s="721"/>
      <c r="U122" s="71"/>
      <c r="V122" s="464"/>
      <c r="W122" s="481"/>
      <c r="X122" s="464"/>
      <c r="Y122" s="522"/>
      <c r="Z122" s="522"/>
      <c r="AA122" s="522"/>
      <c r="AB122" s="522"/>
    </row>
    <row r="123" spans="1:28" ht="45" x14ac:dyDescent="0.25">
      <c r="A123" s="646" t="s">
        <v>143</v>
      </c>
      <c r="B123" s="7">
        <f>IF(  AND(ISNUMBER(C123),OR(ISNUMBER(D123),D123="PG")),IF(IF(Capa!$B$6="B",0,Capa!$B$6)&gt;=C123,1,0),"")</f>
        <v>0</v>
      </c>
      <c r="C123" s="12">
        <f t="shared" si="13"/>
        <v>2</v>
      </c>
      <c r="D123" s="647">
        <v>73</v>
      </c>
      <c r="E123" s="352" t="s">
        <v>150</v>
      </c>
      <c r="F123" s="513"/>
      <c r="G123" s="468"/>
      <c r="H123" s="241"/>
      <c r="I123" s="29"/>
      <c r="J123" s="425">
        <f t="shared" si="23"/>
        <v>0</v>
      </c>
      <c r="K123" s="471"/>
      <c r="L123" s="697" t="str">
        <f t="shared" si="22"/>
        <v/>
      </c>
      <c r="M123" s="719"/>
      <c r="N123" s="720"/>
      <c r="O123" s="720"/>
      <c r="P123" s="720"/>
      <c r="Q123" s="720"/>
      <c r="R123" s="720"/>
      <c r="S123" s="720"/>
      <c r="T123" s="721"/>
      <c r="U123" s="71"/>
      <c r="V123" s="464"/>
      <c r="W123" s="481"/>
      <c r="X123" s="464"/>
      <c r="Y123" s="522"/>
      <c r="Z123" s="522"/>
      <c r="AA123" s="522"/>
      <c r="AB123" s="522"/>
    </row>
    <row r="124" spans="1:28" ht="30" x14ac:dyDescent="0.25">
      <c r="A124" s="646" t="s">
        <v>143</v>
      </c>
      <c r="B124" s="7">
        <f>IF(  AND(ISNUMBER(C124),OR(ISNUMBER(D124),D124="PG")),IF(IF(Capa!$B$6="B",0,Capa!$B$6)&gt;=C124,1,0),"")</f>
        <v>0</v>
      </c>
      <c r="C124" s="12">
        <f t="shared" si="13"/>
        <v>2</v>
      </c>
      <c r="D124" s="647">
        <v>74</v>
      </c>
      <c r="E124" s="352" t="s">
        <v>151</v>
      </c>
      <c r="F124" s="513"/>
      <c r="G124" s="468"/>
      <c r="H124" s="241"/>
      <c r="I124" s="29"/>
      <c r="J124" s="425">
        <f t="shared" si="23"/>
        <v>0</v>
      </c>
      <c r="K124" s="471"/>
      <c r="L124" s="697" t="str">
        <f t="shared" si="22"/>
        <v/>
      </c>
      <c r="M124" s="719"/>
      <c r="N124" s="720"/>
      <c r="O124" s="720"/>
      <c r="P124" s="720"/>
      <c r="Q124" s="720"/>
      <c r="R124" s="720"/>
      <c r="S124" s="720"/>
      <c r="T124" s="721"/>
      <c r="U124" s="71"/>
      <c r="V124" s="464"/>
      <c r="W124" s="481"/>
      <c r="X124" s="464"/>
      <c r="Y124" s="522"/>
      <c r="Z124" s="522"/>
      <c r="AA124" s="522"/>
      <c r="AB124" s="522"/>
    </row>
    <row r="125" spans="1:28" ht="30" x14ac:dyDescent="0.25">
      <c r="A125" s="646" t="s">
        <v>143</v>
      </c>
      <c r="B125" s="7">
        <f>IF(  AND(ISNUMBER(C125),OR(ISNUMBER(D125),D125="PG")),IF(IF(Capa!$B$6="B",0,Capa!$B$6)&gt;=C125,1,0),"")</f>
        <v>0</v>
      </c>
      <c r="C125" s="12">
        <f t="shared" si="13"/>
        <v>2</v>
      </c>
      <c r="D125" s="647">
        <v>75</v>
      </c>
      <c r="E125" s="352" t="s">
        <v>152</v>
      </c>
      <c r="F125" s="513"/>
      <c r="G125" s="468"/>
      <c r="H125" s="241"/>
      <c r="I125" s="29"/>
      <c r="J125" s="425">
        <f t="shared" si="23"/>
        <v>0</v>
      </c>
      <c r="K125" s="471"/>
      <c r="L125" s="697" t="str">
        <f t="shared" si="22"/>
        <v/>
      </c>
      <c r="M125" s="719"/>
      <c r="N125" s="720"/>
      <c r="O125" s="720"/>
      <c r="P125" s="720"/>
      <c r="Q125" s="720"/>
      <c r="R125" s="720"/>
      <c r="S125" s="720"/>
      <c r="T125" s="721"/>
      <c r="U125" s="71"/>
      <c r="V125" s="464"/>
      <c r="W125" s="481"/>
      <c r="X125" s="464"/>
      <c r="Y125" s="522"/>
      <c r="Z125" s="522"/>
      <c r="AA125" s="522"/>
      <c r="AB125" s="522"/>
    </row>
    <row r="126" spans="1:28" ht="7.7" customHeight="1" x14ac:dyDescent="0.25">
      <c r="A126" s="646" t="s">
        <v>143</v>
      </c>
      <c r="B126" s="7" t="str">
        <f>IF(  AND(ISNUMBER(C126),OR(ISNUMBER(D126),D126="PG")),IF(IF(Capa!$B$6="B",0,Capa!$B$6)&gt;=C126,1,0),"")</f>
        <v/>
      </c>
      <c r="C126" s="12">
        <f t="shared" si="13"/>
        <v>3</v>
      </c>
      <c r="D126" s="647" t="s">
        <v>70</v>
      </c>
      <c r="E126" s="352"/>
      <c r="F126" s="513"/>
      <c r="G126" s="468"/>
      <c r="H126" s="241"/>
      <c r="I126" s="29"/>
      <c r="J126" s="239"/>
      <c r="K126" s="471"/>
      <c r="L126" s="697" t="str">
        <f t="shared" si="22"/>
        <v/>
      </c>
      <c r="M126" s="719"/>
      <c r="N126" s="720"/>
      <c r="O126" s="720"/>
      <c r="P126" s="720"/>
      <c r="Q126" s="720"/>
      <c r="R126" s="720"/>
      <c r="S126" s="720"/>
      <c r="T126" s="721"/>
      <c r="U126" s="71"/>
      <c r="V126" s="464"/>
      <c r="W126" s="481"/>
      <c r="X126" s="464"/>
      <c r="Y126" s="522"/>
      <c r="Z126" s="522"/>
      <c r="AA126" s="522"/>
      <c r="AB126" s="522"/>
    </row>
    <row r="127" spans="1:28" ht="30" x14ac:dyDescent="0.25">
      <c r="A127" s="646" t="s">
        <v>143</v>
      </c>
      <c r="B127" s="7">
        <f>IF(  AND(ISNUMBER(C127),OR(ISNUMBER(D127),D127="PG")),IF(IF(Capa!$B$6="B",0,Capa!$B$6)&gt;=C127,1,0),"")</f>
        <v>0</v>
      </c>
      <c r="C127" s="12">
        <f t="shared" si="13"/>
        <v>3</v>
      </c>
      <c r="D127" s="647">
        <v>76</v>
      </c>
      <c r="E127" s="352" t="s">
        <v>153</v>
      </c>
      <c r="F127" s="513"/>
      <c r="G127" s="468"/>
      <c r="H127" s="241"/>
      <c r="I127" s="29"/>
      <c r="J127" s="425">
        <f t="shared" ref="J127:J128" si="24">LEN(K127)</f>
        <v>0</v>
      </c>
      <c r="K127" s="471"/>
      <c r="L127" s="697" t="str">
        <f t="shared" si="22"/>
        <v/>
      </c>
      <c r="M127" s="719"/>
      <c r="N127" s="720"/>
      <c r="O127" s="720"/>
      <c r="P127" s="720"/>
      <c r="Q127" s="720"/>
      <c r="R127" s="720"/>
      <c r="S127" s="720"/>
      <c r="T127" s="721"/>
      <c r="U127" s="71"/>
      <c r="V127" s="464"/>
      <c r="W127" s="481"/>
      <c r="X127" s="464"/>
      <c r="Y127" s="522"/>
      <c r="Z127" s="522"/>
      <c r="AA127" s="522"/>
      <c r="AB127" s="522"/>
    </row>
    <row r="128" spans="1:28" ht="45" x14ac:dyDescent="0.25">
      <c r="A128" s="646" t="s">
        <v>143</v>
      </c>
      <c r="B128" s="7">
        <f>IF(  AND(ISNUMBER(C128),OR(ISNUMBER(D128),D128="PG")),IF(IF(Capa!$B$6="B",0,Capa!$B$6)&gt;=C128,1,0),"")</f>
        <v>0</v>
      </c>
      <c r="C128" s="12">
        <f t="shared" si="13"/>
        <v>3</v>
      </c>
      <c r="D128" s="647">
        <v>77</v>
      </c>
      <c r="E128" s="352" t="s">
        <v>154</v>
      </c>
      <c r="F128" s="513"/>
      <c r="G128" s="468"/>
      <c r="H128" s="241"/>
      <c r="I128" s="29"/>
      <c r="J128" s="425">
        <f t="shared" si="24"/>
        <v>0</v>
      </c>
      <c r="K128" s="471"/>
      <c r="L128" s="697" t="str">
        <f t="shared" si="22"/>
        <v/>
      </c>
      <c r="M128" s="719"/>
      <c r="N128" s="720"/>
      <c r="O128" s="720"/>
      <c r="P128" s="720"/>
      <c r="Q128" s="720"/>
      <c r="R128" s="720"/>
      <c r="S128" s="720"/>
      <c r="T128" s="721"/>
      <c r="U128" s="71"/>
      <c r="V128" s="464"/>
      <c r="W128" s="481"/>
      <c r="X128" s="464"/>
      <c r="Y128" s="522"/>
      <c r="Z128" s="522"/>
      <c r="AA128" s="522"/>
      <c r="AB128" s="522"/>
    </row>
    <row r="129" spans="1:28" ht="5.85" customHeight="1" x14ac:dyDescent="0.25">
      <c r="B129" s="7" t="str">
        <f>IF(  AND(ISNUMBER(C129),OR(ISNUMBER(D129),D129="PG")),IF(IF(Capa!$B$6="B",0,Capa!$B$6)&gt;=C129,1,0),"")</f>
        <v/>
      </c>
      <c r="C129" s="118" t="str">
        <f t="shared" ref="C129" si="25">IF(ISBLANK(D129),"",IF(ISERR(SEARCH(D129&amp;"\","&lt;B&gt;\&lt;1&gt;\&lt;2&gt;\&lt;3&gt;\")),IF(AND(NOT(ISBLANK(C128)),C128&lt;=3),C128,""),
IF(SEARCH(D129&amp;"\","&lt;B&gt;\&lt;1&gt;\&lt;2&gt;\&lt;3&gt;\")=1,0,IF(SEARCH(D129&amp;"\","&lt;B&gt;\&lt;1&gt;\&lt;2&gt;\&lt;3&gt;\")=5,1,IF(SEARCH(D129&amp;"\","&lt;B&gt;\&lt;1&gt;\&lt;2&gt;\&lt;3&gt;\")=9,2,IF(SEARCH(D129&amp;"\","&lt;B&gt;\&lt;1&gt;\&lt;2&gt;\&lt;3&gt;\")=13,3,""))))))</f>
        <v/>
      </c>
      <c r="D129" s="225"/>
      <c r="E129" s="226"/>
      <c r="F129" s="123"/>
      <c r="G129" s="227"/>
      <c r="H129" s="227"/>
      <c r="I129" s="123"/>
      <c r="J129" s="227"/>
      <c r="K129" s="228"/>
      <c r="L129" s="227"/>
      <c r="M129" s="119"/>
      <c r="N129" s="119"/>
      <c r="O129" s="119"/>
      <c r="P129" s="119"/>
      <c r="Q129" s="119"/>
      <c r="R129" s="119"/>
      <c r="S129" s="229"/>
      <c r="T129" s="229"/>
      <c r="U129" s="454"/>
      <c r="V129" s="595"/>
      <c r="W129" s="121"/>
      <c r="X129" s="465"/>
      <c r="Y129" s="465"/>
      <c r="Z129" s="465"/>
      <c r="AA129" s="465"/>
      <c r="AB129" s="465"/>
    </row>
    <row r="130" spans="1:28" s="214" customFormat="1" x14ac:dyDescent="0.25">
      <c r="A130" s="266"/>
      <c r="B130" s="266"/>
      <c r="C130" s="54"/>
      <c r="D130" s="267"/>
      <c r="E130" s="268"/>
      <c r="F130" s="55"/>
      <c r="G130" s="269"/>
      <c r="H130" s="269"/>
      <c r="I130" s="55"/>
      <c r="J130" s="269"/>
      <c r="K130" s="270"/>
      <c r="L130" s="269"/>
      <c r="M130" s="62"/>
      <c r="N130" s="62"/>
      <c r="O130" s="62"/>
      <c r="P130" s="62"/>
      <c r="Q130" s="62"/>
      <c r="R130" s="62"/>
      <c r="W130" s="60"/>
    </row>
    <row r="131" spans="1:28" s="214" customFormat="1" x14ac:dyDescent="0.25">
      <c r="A131" s="266"/>
      <c r="B131" s="266"/>
      <c r="C131" s="54"/>
      <c r="D131" s="267"/>
      <c r="E131" s="268"/>
      <c r="F131" s="55"/>
      <c r="G131" s="269"/>
      <c r="H131" s="269"/>
      <c r="I131" s="55"/>
      <c r="J131" s="269"/>
      <c r="K131" s="270"/>
      <c r="L131" s="269"/>
      <c r="M131" s="62"/>
      <c r="N131" s="62"/>
      <c r="O131" s="62"/>
      <c r="P131" s="62"/>
      <c r="Q131" s="62"/>
      <c r="R131" s="62"/>
      <c r="W131" s="60"/>
    </row>
    <row r="132" spans="1:28" s="214" customFormat="1" x14ac:dyDescent="0.25">
      <c r="A132" s="266"/>
      <c r="B132" s="266"/>
      <c r="C132" s="54"/>
      <c r="D132" s="267"/>
      <c r="E132" s="268"/>
      <c r="F132" s="55"/>
      <c r="G132" s="269"/>
      <c r="H132" s="269"/>
      <c r="I132" s="55"/>
      <c r="J132" s="269"/>
      <c r="K132" s="270"/>
      <c r="L132" s="269"/>
      <c r="M132" s="62"/>
      <c r="N132" s="62"/>
      <c r="O132" s="62"/>
      <c r="P132" s="62"/>
      <c r="Q132" s="62"/>
      <c r="R132" s="62"/>
      <c r="W132" s="60"/>
    </row>
    <row r="133" spans="1:28" s="214" customFormat="1" x14ac:dyDescent="0.25">
      <c r="A133" s="266"/>
      <c r="B133" s="266"/>
      <c r="C133" s="54"/>
      <c r="D133" s="267"/>
      <c r="E133" s="268"/>
      <c r="F133" s="55"/>
      <c r="G133" s="269"/>
      <c r="H133" s="269"/>
      <c r="I133" s="55"/>
      <c r="J133" s="269"/>
      <c r="K133" s="270"/>
      <c r="L133" s="269"/>
      <c r="M133" s="62"/>
      <c r="N133" s="62"/>
      <c r="O133" s="62"/>
      <c r="P133" s="62"/>
      <c r="Q133" s="62"/>
      <c r="R133" s="62"/>
      <c r="W133" s="60"/>
    </row>
    <row r="134" spans="1:28" s="214" customFormat="1" x14ac:dyDescent="0.25">
      <c r="A134" s="266"/>
      <c r="B134" s="266"/>
      <c r="C134" s="54"/>
      <c r="D134" s="267"/>
      <c r="E134" s="268"/>
      <c r="F134" s="55"/>
      <c r="G134" s="269"/>
      <c r="H134" s="269"/>
      <c r="I134" s="55"/>
      <c r="J134" s="269"/>
      <c r="K134" s="270"/>
      <c r="L134" s="269"/>
      <c r="M134" s="62"/>
      <c r="N134" s="62"/>
      <c r="O134" s="62"/>
      <c r="P134" s="62"/>
      <c r="Q134" s="62"/>
      <c r="R134" s="62"/>
      <c r="W134" s="60"/>
    </row>
    <row r="135" spans="1:28" s="214" customFormat="1" x14ac:dyDescent="0.25">
      <c r="A135" s="266"/>
      <c r="B135" s="266"/>
      <c r="C135" s="54"/>
      <c r="D135" s="267"/>
      <c r="E135" s="268"/>
      <c r="F135" s="55"/>
      <c r="G135" s="269"/>
      <c r="H135" s="269"/>
      <c r="I135" s="55"/>
      <c r="J135" s="269"/>
      <c r="K135" s="270"/>
      <c r="L135" s="269"/>
      <c r="M135" s="62"/>
      <c r="N135" s="62"/>
      <c r="O135" s="62"/>
      <c r="P135" s="62"/>
      <c r="Q135" s="62"/>
      <c r="R135" s="62"/>
      <c r="W135" s="60"/>
    </row>
    <row r="136" spans="1:28" s="214" customFormat="1" x14ac:dyDescent="0.25">
      <c r="A136" s="266"/>
      <c r="B136" s="266"/>
      <c r="C136" s="54"/>
      <c r="D136" s="267"/>
      <c r="E136" s="268"/>
      <c r="F136" s="55"/>
      <c r="G136" s="269"/>
      <c r="H136" s="269"/>
      <c r="I136" s="55"/>
      <c r="J136" s="269"/>
      <c r="K136" s="270"/>
      <c r="L136" s="269"/>
      <c r="M136" s="62"/>
      <c r="N136" s="62"/>
      <c r="O136" s="62"/>
      <c r="P136" s="62"/>
      <c r="Q136" s="62"/>
      <c r="R136" s="62"/>
      <c r="W136" s="60"/>
    </row>
    <row r="137" spans="1:28" s="214" customFormat="1" x14ac:dyDescent="0.25">
      <c r="A137" s="266"/>
      <c r="B137" s="266"/>
      <c r="C137" s="54"/>
      <c r="D137" s="267"/>
      <c r="E137" s="268"/>
      <c r="F137" s="55"/>
      <c r="G137" s="269"/>
      <c r="H137" s="269"/>
      <c r="I137" s="55"/>
      <c r="J137" s="269"/>
      <c r="K137" s="270"/>
      <c r="L137" s="269"/>
      <c r="M137" s="62"/>
      <c r="N137" s="62"/>
      <c r="O137" s="62"/>
      <c r="P137" s="62"/>
      <c r="Q137" s="62"/>
      <c r="R137" s="62"/>
      <c r="W137" s="60"/>
    </row>
    <row r="138" spans="1:28" s="214" customFormat="1" x14ac:dyDescent="0.25">
      <c r="A138" s="266"/>
      <c r="B138" s="266"/>
      <c r="C138" s="54"/>
      <c r="D138" s="267"/>
      <c r="E138" s="268"/>
      <c r="F138" s="55"/>
      <c r="G138" s="269"/>
      <c r="H138" s="269"/>
      <c r="I138" s="55"/>
      <c r="J138" s="269"/>
      <c r="K138" s="270"/>
      <c r="L138" s="269"/>
      <c r="M138" s="62"/>
      <c r="N138" s="62"/>
      <c r="O138" s="62"/>
      <c r="P138" s="62"/>
      <c r="Q138" s="62"/>
      <c r="R138" s="62"/>
      <c r="W138" s="60"/>
    </row>
    <row r="139" spans="1:28" s="214" customFormat="1" x14ac:dyDescent="0.25">
      <c r="A139" s="266"/>
      <c r="B139" s="266"/>
      <c r="C139" s="54"/>
      <c r="D139" s="267"/>
      <c r="E139" s="268"/>
      <c r="F139" s="55"/>
      <c r="G139" s="269"/>
      <c r="H139" s="269"/>
      <c r="I139" s="55"/>
      <c r="J139" s="269"/>
      <c r="K139" s="270"/>
      <c r="L139" s="269"/>
      <c r="M139" s="62"/>
      <c r="N139" s="62"/>
      <c r="O139" s="62"/>
      <c r="P139" s="62"/>
      <c r="Q139" s="62"/>
      <c r="R139" s="62"/>
      <c r="W139" s="60"/>
    </row>
    <row r="140" spans="1:28" s="214" customFormat="1" x14ac:dyDescent="0.25">
      <c r="A140" s="266"/>
      <c r="B140" s="266"/>
      <c r="C140" s="54"/>
      <c r="D140" s="267"/>
      <c r="E140" s="268"/>
      <c r="F140" s="55"/>
      <c r="G140" s="269"/>
      <c r="H140" s="269"/>
      <c r="I140" s="55"/>
      <c r="J140" s="269"/>
      <c r="K140" s="270"/>
      <c r="L140" s="269"/>
      <c r="M140" s="62"/>
      <c r="N140" s="62"/>
      <c r="O140" s="62"/>
      <c r="P140" s="62"/>
      <c r="Q140" s="62"/>
      <c r="R140" s="62"/>
      <c r="W140" s="60"/>
    </row>
    <row r="141" spans="1:28" s="214" customFormat="1" x14ac:dyDescent="0.25">
      <c r="A141" s="266"/>
      <c r="B141" s="266"/>
      <c r="C141" s="54"/>
      <c r="D141" s="267"/>
      <c r="E141" s="268"/>
      <c r="F141" s="55"/>
      <c r="G141" s="269"/>
      <c r="H141" s="269"/>
      <c r="I141" s="55"/>
      <c r="J141" s="269"/>
      <c r="K141" s="270"/>
      <c r="L141" s="269"/>
      <c r="M141" s="62"/>
      <c r="N141" s="62"/>
      <c r="O141" s="62"/>
      <c r="P141" s="62"/>
      <c r="Q141" s="62"/>
      <c r="R141" s="62"/>
      <c r="W141" s="60"/>
    </row>
    <row r="142" spans="1:28" s="214" customFormat="1" x14ac:dyDescent="0.25">
      <c r="A142" s="266"/>
      <c r="B142" s="266"/>
      <c r="C142" s="54"/>
      <c r="D142" s="267"/>
      <c r="E142" s="268"/>
      <c r="F142" s="55"/>
      <c r="G142" s="269"/>
      <c r="H142" s="269"/>
      <c r="I142" s="55"/>
      <c r="J142" s="269"/>
      <c r="K142" s="270"/>
      <c r="L142" s="269"/>
      <c r="M142" s="62"/>
      <c r="N142" s="62"/>
      <c r="O142" s="62"/>
      <c r="P142" s="62"/>
      <c r="Q142" s="62"/>
      <c r="R142" s="62"/>
      <c r="W142" s="60"/>
    </row>
    <row r="143" spans="1:28" s="214" customFormat="1" x14ac:dyDescent="0.25">
      <c r="A143" s="266"/>
      <c r="B143" s="266"/>
      <c r="C143" s="54"/>
      <c r="D143" s="267"/>
      <c r="E143" s="268"/>
      <c r="F143" s="55"/>
      <c r="G143" s="269"/>
      <c r="H143" s="269"/>
      <c r="I143" s="55"/>
      <c r="J143" s="269"/>
      <c r="K143" s="270"/>
      <c r="L143" s="269"/>
      <c r="M143" s="62"/>
      <c r="N143" s="62"/>
      <c r="O143" s="62"/>
      <c r="P143" s="62"/>
      <c r="Q143" s="62"/>
      <c r="R143" s="62"/>
      <c r="W143" s="60"/>
    </row>
    <row r="144" spans="1:28" s="214" customFormat="1" x14ac:dyDescent="0.25">
      <c r="A144" s="266"/>
      <c r="B144" s="266"/>
      <c r="C144" s="54"/>
      <c r="D144" s="267"/>
      <c r="E144" s="268"/>
      <c r="F144" s="55"/>
      <c r="G144" s="269"/>
      <c r="H144" s="269"/>
      <c r="I144" s="55"/>
      <c r="J144" s="269"/>
      <c r="K144" s="270"/>
      <c r="L144" s="269"/>
      <c r="M144" s="62"/>
      <c r="N144" s="62"/>
      <c r="O144" s="62"/>
      <c r="P144" s="62"/>
      <c r="Q144" s="62"/>
      <c r="R144" s="62"/>
      <c r="W144" s="60"/>
    </row>
    <row r="145" spans="1:23" s="214" customFormat="1" x14ac:dyDescent="0.25">
      <c r="A145" s="266"/>
      <c r="B145" s="266"/>
      <c r="C145" s="54"/>
      <c r="D145" s="267"/>
      <c r="E145" s="268"/>
      <c r="F145" s="55"/>
      <c r="G145" s="269"/>
      <c r="H145" s="269"/>
      <c r="I145" s="55"/>
      <c r="J145" s="269"/>
      <c r="K145" s="270"/>
      <c r="L145" s="269"/>
      <c r="M145" s="62"/>
      <c r="N145" s="62"/>
      <c r="O145" s="62"/>
      <c r="P145" s="62"/>
      <c r="Q145" s="62"/>
      <c r="R145" s="62"/>
      <c r="W145" s="60"/>
    </row>
    <row r="146" spans="1:23" s="214" customFormat="1" x14ac:dyDescent="0.25">
      <c r="A146" s="266"/>
      <c r="B146" s="266"/>
      <c r="C146" s="54"/>
      <c r="D146" s="267"/>
      <c r="E146" s="268"/>
      <c r="F146" s="55"/>
      <c r="G146" s="269"/>
      <c r="H146" s="269"/>
      <c r="I146" s="55"/>
      <c r="J146" s="269"/>
      <c r="K146" s="270"/>
      <c r="L146" s="269"/>
      <c r="M146" s="62"/>
      <c r="N146" s="62"/>
      <c r="O146" s="62"/>
      <c r="P146" s="62"/>
      <c r="Q146" s="62"/>
      <c r="R146" s="62"/>
      <c r="W146" s="60"/>
    </row>
    <row r="147" spans="1:23" s="214" customFormat="1" x14ac:dyDescent="0.25">
      <c r="A147" s="266"/>
      <c r="B147" s="266"/>
      <c r="C147" s="54"/>
      <c r="D147" s="267"/>
      <c r="E147" s="268"/>
      <c r="F147" s="55"/>
      <c r="G147" s="269"/>
      <c r="H147" s="269"/>
      <c r="I147" s="55"/>
      <c r="J147" s="269"/>
      <c r="K147" s="270"/>
      <c r="L147" s="269"/>
      <c r="M147" s="62"/>
      <c r="N147" s="62"/>
      <c r="O147" s="62"/>
      <c r="P147" s="62"/>
      <c r="Q147" s="62"/>
      <c r="R147" s="62"/>
      <c r="W147" s="60"/>
    </row>
    <row r="148" spans="1:23" s="214" customFormat="1" x14ac:dyDescent="0.25">
      <c r="A148" s="266"/>
      <c r="B148" s="266"/>
      <c r="C148" s="54"/>
      <c r="D148" s="267"/>
      <c r="E148" s="268"/>
      <c r="F148" s="55"/>
      <c r="G148" s="269"/>
      <c r="H148" s="269"/>
      <c r="I148" s="55"/>
      <c r="J148" s="269"/>
      <c r="K148" s="270"/>
      <c r="L148" s="269"/>
      <c r="M148" s="62"/>
      <c r="N148" s="62"/>
      <c r="O148" s="62"/>
      <c r="P148" s="62"/>
      <c r="Q148" s="62"/>
      <c r="R148" s="62"/>
      <c r="W148" s="60"/>
    </row>
    <row r="149" spans="1:23" s="214" customFormat="1" x14ac:dyDescent="0.25">
      <c r="A149" s="266"/>
      <c r="B149" s="266"/>
      <c r="C149" s="54"/>
      <c r="D149" s="267"/>
      <c r="E149" s="268"/>
      <c r="F149" s="55"/>
      <c r="G149" s="269"/>
      <c r="H149" s="269"/>
      <c r="I149" s="55"/>
      <c r="J149" s="269"/>
      <c r="K149" s="270"/>
      <c r="L149" s="269"/>
      <c r="M149" s="62"/>
      <c r="N149" s="62"/>
      <c r="O149" s="62"/>
      <c r="P149" s="62"/>
      <c r="Q149" s="62"/>
      <c r="R149" s="62"/>
      <c r="W149" s="60"/>
    </row>
    <row r="150" spans="1:23" s="214" customFormat="1" x14ac:dyDescent="0.25">
      <c r="A150" s="266"/>
      <c r="B150" s="266"/>
      <c r="C150" s="54"/>
      <c r="D150" s="267"/>
      <c r="E150" s="268"/>
      <c r="F150" s="55"/>
      <c r="G150" s="269"/>
      <c r="H150" s="269"/>
      <c r="I150" s="55"/>
      <c r="J150" s="269"/>
      <c r="K150" s="270"/>
      <c r="L150" s="269"/>
      <c r="M150" s="62"/>
      <c r="N150" s="62"/>
      <c r="O150" s="62"/>
      <c r="P150" s="62"/>
      <c r="Q150" s="62"/>
      <c r="R150" s="62"/>
      <c r="W150" s="60"/>
    </row>
    <row r="151" spans="1:23" s="214" customFormat="1" x14ac:dyDescent="0.25">
      <c r="A151" s="266"/>
      <c r="B151" s="266"/>
      <c r="C151" s="54"/>
      <c r="D151" s="267"/>
      <c r="E151" s="268"/>
      <c r="F151" s="55"/>
      <c r="G151" s="269"/>
      <c r="H151" s="269"/>
      <c r="I151" s="55"/>
      <c r="J151" s="269"/>
      <c r="K151" s="270"/>
      <c r="L151" s="269"/>
      <c r="M151" s="62"/>
      <c r="N151" s="62"/>
      <c r="O151" s="62"/>
      <c r="P151" s="62"/>
      <c r="Q151" s="62"/>
      <c r="R151" s="62"/>
      <c r="W151" s="60"/>
    </row>
    <row r="152" spans="1:23" s="214" customFormat="1" x14ac:dyDescent="0.25">
      <c r="A152" s="266"/>
      <c r="B152" s="266"/>
      <c r="C152" s="54"/>
      <c r="D152" s="267"/>
      <c r="E152" s="268"/>
      <c r="F152" s="55"/>
      <c r="G152" s="269"/>
      <c r="H152" s="269"/>
      <c r="I152" s="55"/>
      <c r="J152" s="269"/>
      <c r="K152" s="270"/>
      <c r="L152" s="269"/>
      <c r="M152" s="62"/>
      <c r="N152" s="62"/>
      <c r="O152" s="62"/>
      <c r="P152" s="62"/>
      <c r="Q152" s="62"/>
      <c r="R152" s="62"/>
      <c r="W152" s="60"/>
    </row>
    <row r="153" spans="1:23" s="214" customFormat="1" x14ac:dyDescent="0.25">
      <c r="A153" s="266"/>
      <c r="B153" s="266"/>
      <c r="C153" s="54"/>
      <c r="D153" s="267"/>
      <c r="E153" s="268"/>
      <c r="F153" s="55"/>
      <c r="G153" s="269"/>
      <c r="H153" s="269"/>
      <c r="I153" s="55"/>
      <c r="J153" s="269"/>
      <c r="K153" s="270"/>
      <c r="L153" s="269"/>
      <c r="M153" s="62"/>
      <c r="N153" s="62"/>
      <c r="O153" s="62"/>
      <c r="P153" s="62"/>
      <c r="Q153" s="62"/>
      <c r="R153" s="62"/>
      <c r="W153" s="60"/>
    </row>
    <row r="154" spans="1:23" s="214" customFormat="1" x14ac:dyDescent="0.25">
      <c r="A154" s="266"/>
      <c r="B154" s="266"/>
      <c r="C154" s="54"/>
      <c r="D154" s="267"/>
      <c r="E154" s="268"/>
      <c r="F154" s="55"/>
      <c r="G154" s="269"/>
      <c r="H154" s="269"/>
      <c r="I154" s="55"/>
      <c r="J154" s="269"/>
      <c r="K154" s="270"/>
      <c r="L154" s="269"/>
      <c r="M154" s="62"/>
      <c r="N154" s="62"/>
      <c r="O154" s="62"/>
      <c r="P154" s="62"/>
      <c r="Q154" s="62"/>
      <c r="R154" s="62"/>
      <c r="W154" s="60"/>
    </row>
    <row r="155" spans="1:23" s="214" customFormat="1" x14ac:dyDescent="0.25">
      <c r="A155" s="266"/>
      <c r="B155" s="266"/>
      <c r="C155" s="54"/>
      <c r="D155" s="267"/>
      <c r="E155" s="268"/>
      <c r="F155" s="55"/>
      <c r="G155" s="269"/>
      <c r="H155" s="269"/>
      <c r="I155" s="55"/>
      <c r="J155" s="269"/>
      <c r="K155" s="270"/>
      <c r="L155" s="269"/>
      <c r="M155" s="62"/>
      <c r="N155" s="62"/>
      <c r="O155" s="62"/>
      <c r="P155" s="62"/>
      <c r="Q155" s="62"/>
      <c r="R155" s="62"/>
      <c r="W155" s="60"/>
    </row>
    <row r="156" spans="1:23" s="214" customFormat="1" x14ac:dyDescent="0.25">
      <c r="A156" s="266"/>
      <c r="B156" s="266"/>
      <c r="C156" s="54"/>
      <c r="D156" s="267"/>
      <c r="E156" s="268"/>
      <c r="F156" s="55"/>
      <c r="G156" s="269"/>
      <c r="H156" s="269"/>
      <c r="I156" s="55"/>
      <c r="J156" s="269"/>
      <c r="K156" s="270"/>
      <c r="L156" s="269"/>
      <c r="M156" s="62"/>
      <c r="N156" s="62"/>
      <c r="O156" s="62"/>
      <c r="P156" s="62"/>
      <c r="Q156" s="62"/>
      <c r="R156" s="62"/>
      <c r="W156" s="60"/>
    </row>
    <row r="157" spans="1:23" s="214" customFormat="1" x14ac:dyDescent="0.25">
      <c r="A157" s="266"/>
      <c r="B157" s="266"/>
      <c r="C157" s="54"/>
      <c r="D157" s="267"/>
      <c r="E157" s="268"/>
      <c r="F157" s="55"/>
      <c r="G157" s="269"/>
      <c r="H157" s="269"/>
      <c r="I157" s="55"/>
      <c r="J157" s="269"/>
      <c r="K157" s="270"/>
      <c r="L157" s="269"/>
      <c r="M157" s="62"/>
      <c r="N157" s="62"/>
      <c r="O157" s="62"/>
      <c r="P157" s="62"/>
      <c r="Q157" s="62"/>
      <c r="R157" s="62"/>
      <c r="W157" s="60"/>
    </row>
    <row r="158" spans="1:23" s="214" customFormat="1" x14ac:dyDescent="0.25">
      <c r="A158" s="266"/>
      <c r="B158" s="266"/>
      <c r="C158" s="54"/>
      <c r="D158" s="267"/>
      <c r="E158" s="268"/>
      <c r="F158" s="55"/>
      <c r="G158" s="269"/>
      <c r="H158" s="269"/>
      <c r="I158" s="55"/>
      <c r="J158" s="269"/>
      <c r="K158" s="270"/>
      <c r="L158" s="269"/>
      <c r="M158" s="62"/>
      <c r="N158" s="62"/>
      <c r="O158" s="62"/>
      <c r="P158" s="62"/>
      <c r="Q158" s="62"/>
      <c r="R158" s="62"/>
      <c r="W158" s="60"/>
    </row>
    <row r="159" spans="1:23" s="214" customFormat="1" x14ac:dyDescent="0.25">
      <c r="A159" s="266"/>
      <c r="B159" s="266"/>
      <c r="C159" s="54"/>
      <c r="D159" s="267"/>
      <c r="E159" s="268"/>
      <c r="F159" s="55"/>
      <c r="G159" s="269"/>
      <c r="H159" s="269"/>
      <c r="I159" s="55"/>
      <c r="J159" s="269"/>
      <c r="K159" s="270"/>
      <c r="L159" s="269"/>
      <c r="M159" s="62"/>
      <c r="N159" s="62"/>
      <c r="O159" s="62"/>
      <c r="P159" s="62"/>
      <c r="Q159" s="62"/>
      <c r="R159" s="62"/>
      <c r="W159" s="60"/>
    </row>
    <row r="160" spans="1:23" s="214" customFormat="1" x14ac:dyDescent="0.25">
      <c r="A160" s="266"/>
      <c r="B160" s="266"/>
      <c r="C160" s="54"/>
      <c r="D160" s="267"/>
      <c r="E160" s="268"/>
      <c r="F160" s="55"/>
      <c r="G160" s="269"/>
      <c r="H160" s="269"/>
      <c r="I160" s="55"/>
      <c r="J160" s="269"/>
      <c r="K160" s="270"/>
      <c r="L160" s="269"/>
      <c r="M160" s="62"/>
      <c r="N160" s="62"/>
      <c r="O160" s="62"/>
      <c r="P160" s="62"/>
      <c r="Q160" s="62"/>
      <c r="R160" s="62"/>
      <c r="W160" s="60"/>
    </row>
    <row r="161" spans="1:23" s="214" customFormat="1" x14ac:dyDescent="0.25">
      <c r="A161" s="266"/>
      <c r="B161" s="266"/>
      <c r="C161" s="54"/>
      <c r="D161" s="267"/>
      <c r="E161" s="268"/>
      <c r="F161" s="55"/>
      <c r="G161" s="269"/>
      <c r="H161" s="269"/>
      <c r="I161" s="55"/>
      <c r="J161" s="269"/>
      <c r="K161" s="270"/>
      <c r="L161" s="269"/>
      <c r="M161" s="62"/>
      <c r="N161" s="62"/>
      <c r="O161" s="62"/>
      <c r="P161" s="62"/>
      <c r="Q161" s="62"/>
      <c r="R161" s="62"/>
      <c r="W161" s="60"/>
    </row>
    <row r="162" spans="1:23" s="214" customFormat="1" x14ac:dyDescent="0.25">
      <c r="A162" s="266"/>
      <c r="B162" s="266"/>
      <c r="C162" s="54"/>
      <c r="D162" s="267"/>
      <c r="E162" s="268"/>
      <c r="F162" s="55"/>
      <c r="G162" s="269"/>
      <c r="H162" s="269"/>
      <c r="I162" s="55"/>
      <c r="J162" s="269"/>
      <c r="K162" s="270"/>
      <c r="L162" s="269"/>
      <c r="M162" s="62"/>
      <c r="N162" s="62"/>
      <c r="O162" s="62"/>
      <c r="P162" s="62"/>
      <c r="Q162" s="62"/>
      <c r="R162" s="62"/>
      <c r="W162" s="60"/>
    </row>
    <row r="163" spans="1:23" s="214" customFormat="1" x14ac:dyDescent="0.25">
      <c r="A163" s="266"/>
      <c r="B163" s="266"/>
      <c r="C163" s="54"/>
      <c r="D163" s="267"/>
      <c r="E163" s="268"/>
      <c r="F163" s="55"/>
      <c r="G163" s="269"/>
      <c r="H163" s="269"/>
      <c r="I163" s="55"/>
      <c r="J163" s="269"/>
      <c r="K163" s="270"/>
      <c r="L163" s="269"/>
      <c r="M163" s="62"/>
      <c r="N163" s="62"/>
      <c r="O163" s="62"/>
      <c r="P163" s="62"/>
      <c r="Q163" s="62"/>
      <c r="R163" s="62"/>
      <c r="W163" s="60"/>
    </row>
    <row r="164" spans="1:23" s="214" customFormat="1" x14ac:dyDescent="0.25">
      <c r="A164" s="266"/>
      <c r="B164" s="266"/>
      <c r="C164" s="54"/>
      <c r="D164" s="267"/>
      <c r="E164" s="268"/>
      <c r="F164" s="55"/>
      <c r="G164" s="269"/>
      <c r="H164" s="269"/>
      <c r="I164" s="55"/>
      <c r="J164" s="269"/>
      <c r="K164" s="270"/>
      <c r="L164" s="269"/>
      <c r="M164" s="62"/>
      <c r="N164" s="62"/>
      <c r="O164" s="62"/>
      <c r="P164" s="62"/>
      <c r="Q164" s="62"/>
      <c r="R164" s="62"/>
      <c r="W164" s="60"/>
    </row>
    <row r="165" spans="1:23" s="214" customFormat="1" x14ac:dyDescent="0.25">
      <c r="A165" s="266"/>
      <c r="B165" s="266"/>
      <c r="C165" s="54"/>
      <c r="D165" s="267"/>
      <c r="E165" s="268"/>
      <c r="F165" s="55"/>
      <c r="G165" s="269"/>
      <c r="H165" s="269"/>
      <c r="I165" s="55"/>
      <c r="J165" s="269"/>
      <c r="K165" s="270"/>
      <c r="L165" s="269"/>
      <c r="M165" s="62"/>
      <c r="N165" s="62"/>
      <c r="O165" s="62"/>
      <c r="P165" s="62"/>
      <c r="Q165" s="62"/>
      <c r="R165" s="62"/>
      <c r="W165" s="60"/>
    </row>
    <row r="166" spans="1:23" s="214" customFormat="1" x14ac:dyDescent="0.25">
      <c r="A166" s="266"/>
      <c r="B166" s="266"/>
      <c r="C166" s="54"/>
      <c r="D166" s="267"/>
      <c r="E166" s="268"/>
      <c r="F166" s="55"/>
      <c r="G166" s="269"/>
      <c r="H166" s="269"/>
      <c r="I166" s="55"/>
      <c r="J166" s="269"/>
      <c r="K166" s="270"/>
      <c r="L166" s="269"/>
      <c r="M166" s="62"/>
      <c r="N166" s="62"/>
      <c r="O166" s="62"/>
      <c r="P166" s="62"/>
      <c r="Q166" s="62"/>
      <c r="R166" s="62"/>
      <c r="W166" s="60"/>
    </row>
    <row r="167" spans="1:23" s="214" customFormat="1" x14ac:dyDescent="0.25">
      <c r="A167" s="266"/>
      <c r="B167" s="266"/>
      <c r="C167" s="54"/>
      <c r="D167" s="267"/>
      <c r="E167" s="268"/>
      <c r="F167" s="55"/>
      <c r="G167" s="269"/>
      <c r="H167" s="269"/>
      <c r="I167" s="55"/>
      <c r="J167" s="269"/>
      <c r="K167" s="270"/>
      <c r="L167" s="269"/>
      <c r="M167" s="62"/>
      <c r="N167" s="62"/>
      <c r="O167" s="62"/>
      <c r="P167" s="62"/>
      <c r="Q167" s="62"/>
      <c r="R167" s="62"/>
      <c r="W167" s="60"/>
    </row>
    <row r="168" spans="1:23" s="214" customFormat="1" x14ac:dyDescent="0.25">
      <c r="A168" s="266"/>
      <c r="B168" s="266"/>
      <c r="C168" s="54"/>
      <c r="D168" s="267"/>
      <c r="E168" s="268"/>
      <c r="F168" s="55"/>
      <c r="G168" s="269"/>
      <c r="H168" s="269"/>
      <c r="I168" s="55"/>
      <c r="J168" s="269"/>
      <c r="K168" s="270"/>
      <c r="L168" s="269"/>
      <c r="M168" s="62"/>
      <c r="N168" s="62"/>
      <c r="O168" s="62"/>
      <c r="P168" s="62"/>
      <c r="Q168" s="62"/>
      <c r="R168" s="62"/>
      <c r="W168" s="60"/>
    </row>
    <row r="169" spans="1:23" s="214" customFormat="1" x14ac:dyDescent="0.25">
      <c r="A169" s="266"/>
      <c r="B169" s="266"/>
      <c r="C169" s="54"/>
      <c r="D169" s="267"/>
      <c r="E169" s="268"/>
      <c r="F169" s="55"/>
      <c r="G169" s="269"/>
      <c r="H169" s="269"/>
      <c r="I169" s="55"/>
      <c r="J169" s="269"/>
      <c r="K169" s="270"/>
      <c r="L169" s="269"/>
      <c r="M169" s="62"/>
      <c r="N169" s="62"/>
      <c r="O169" s="62"/>
      <c r="P169" s="62"/>
      <c r="Q169" s="62"/>
      <c r="R169" s="62"/>
      <c r="W169" s="60"/>
    </row>
    <row r="170" spans="1:23" s="214" customFormat="1" x14ac:dyDescent="0.25">
      <c r="A170" s="266"/>
      <c r="B170" s="266"/>
      <c r="C170" s="54"/>
      <c r="D170" s="267"/>
      <c r="E170" s="268"/>
      <c r="F170" s="55"/>
      <c r="G170" s="269"/>
      <c r="H170" s="269"/>
      <c r="I170" s="55"/>
      <c r="J170" s="269"/>
      <c r="K170" s="270"/>
      <c r="L170" s="269"/>
      <c r="M170" s="62"/>
      <c r="N170" s="62"/>
      <c r="O170" s="62"/>
      <c r="P170" s="62"/>
      <c r="Q170" s="62"/>
      <c r="R170" s="62"/>
      <c r="W170" s="60"/>
    </row>
    <row r="171" spans="1:23" s="214" customFormat="1" x14ac:dyDescent="0.25">
      <c r="A171" s="266"/>
      <c r="B171" s="266"/>
      <c r="C171" s="54"/>
      <c r="D171" s="267"/>
      <c r="E171" s="268"/>
      <c r="F171" s="55"/>
      <c r="G171" s="269"/>
      <c r="H171" s="269"/>
      <c r="I171" s="55"/>
      <c r="J171" s="269"/>
      <c r="K171" s="270"/>
      <c r="L171" s="269"/>
      <c r="M171" s="62"/>
      <c r="N171" s="62"/>
      <c r="O171" s="62"/>
      <c r="P171" s="62"/>
      <c r="Q171" s="62"/>
      <c r="R171" s="62"/>
      <c r="W171" s="60"/>
    </row>
    <row r="172" spans="1:23" s="214" customFormat="1" x14ac:dyDescent="0.25">
      <c r="A172" s="266"/>
      <c r="B172" s="266"/>
      <c r="C172" s="54"/>
      <c r="D172" s="267"/>
      <c r="E172" s="268"/>
      <c r="F172" s="55"/>
      <c r="G172" s="269"/>
      <c r="H172" s="269"/>
      <c r="I172" s="55"/>
      <c r="J172" s="269"/>
      <c r="K172" s="270"/>
      <c r="L172" s="269"/>
      <c r="M172" s="62"/>
      <c r="N172" s="62"/>
      <c r="O172" s="62"/>
      <c r="P172" s="62"/>
      <c r="Q172" s="62"/>
      <c r="R172" s="62"/>
      <c r="W172" s="60"/>
    </row>
    <row r="173" spans="1:23" s="214" customFormat="1" x14ac:dyDescent="0.25">
      <c r="A173" s="266"/>
      <c r="B173" s="266"/>
      <c r="C173" s="54"/>
      <c r="D173" s="267"/>
      <c r="E173" s="268"/>
      <c r="F173" s="55"/>
      <c r="G173" s="269"/>
      <c r="H173" s="269"/>
      <c r="I173" s="55"/>
      <c r="J173" s="269"/>
      <c r="K173" s="270"/>
      <c r="L173" s="269"/>
      <c r="M173" s="62"/>
      <c r="N173" s="62"/>
      <c r="O173" s="62"/>
      <c r="P173" s="62"/>
      <c r="Q173" s="62"/>
      <c r="R173" s="62"/>
      <c r="W173" s="60"/>
    </row>
    <row r="174" spans="1:23" s="214" customFormat="1" x14ac:dyDescent="0.25">
      <c r="A174" s="266"/>
      <c r="B174" s="266"/>
      <c r="C174" s="54"/>
      <c r="D174" s="267"/>
      <c r="E174" s="268"/>
      <c r="F174" s="55"/>
      <c r="G174" s="269"/>
      <c r="H174" s="269"/>
      <c r="I174" s="55"/>
      <c r="J174" s="269"/>
      <c r="K174" s="270"/>
      <c r="L174" s="269"/>
      <c r="M174" s="62"/>
      <c r="N174" s="62"/>
      <c r="O174" s="62"/>
      <c r="P174" s="62"/>
      <c r="Q174" s="62"/>
      <c r="R174" s="62"/>
      <c r="W174" s="60"/>
    </row>
    <row r="175" spans="1:23" s="214" customFormat="1" x14ac:dyDescent="0.25">
      <c r="A175" s="266"/>
      <c r="B175" s="266"/>
      <c r="C175" s="54"/>
      <c r="D175" s="267"/>
      <c r="E175" s="268"/>
      <c r="F175" s="55"/>
      <c r="G175" s="269"/>
      <c r="H175" s="269"/>
      <c r="I175" s="55"/>
      <c r="J175" s="269"/>
      <c r="K175" s="270"/>
      <c r="L175" s="269"/>
      <c r="M175" s="62"/>
      <c r="N175" s="62"/>
      <c r="O175" s="62"/>
      <c r="P175" s="62"/>
      <c r="Q175" s="62"/>
      <c r="R175" s="62"/>
      <c r="W175" s="60"/>
    </row>
    <row r="176" spans="1:23" s="214" customFormat="1" x14ac:dyDescent="0.25">
      <c r="A176" s="266"/>
      <c r="B176" s="266"/>
      <c r="C176" s="54"/>
      <c r="D176" s="267"/>
      <c r="E176" s="268"/>
      <c r="F176" s="55"/>
      <c r="G176" s="269"/>
      <c r="H176" s="269"/>
      <c r="I176" s="55"/>
      <c r="J176" s="269"/>
      <c r="K176" s="270"/>
      <c r="L176" s="269"/>
      <c r="M176" s="62"/>
      <c r="N176" s="62"/>
      <c r="O176" s="62"/>
      <c r="P176" s="62"/>
      <c r="Q176" s="62"/>
      <c r="R176" s="62"/>
      <c r="W176" s="60"/>
    </row>
    <row r="177" spans="1:23" s="214" customFormat="1" x14ac:dyDescent="0.25">
      <c r="A177" s="266"/>
      <c r="B177" s="266"/>
      <c r="C177" s="54"/>
      <c r="D177" s="267"/>
      <c r="E177" s="268"/>
      <c r="F177" s="55"/>
      <c r="G177" s="269"/>
      <c r="H177" s="269"/>
      <c r="I177" s="55"/>
      <c r="J177" s="269"/>
      <c r="K177" s="270"/>
      <c r="L177" s="269"/>
      <c r="M177" s="62"/>
      <c r="N177" s="62"/>
      <c r="O177" s="62"/>
      <c r="P177" s="62"/>
      <c r="Q177" s="62"/>
      <c r="R177" s="62"/>
      <c r="W177" s="60"/>
    </row>
    <row r="178" spans="1:23" s="214" customFormat="1" x14ac:dyDescent="0.25">
      <c r="A178" s="266"/>
      <c r="B178" s="266"/>
      <c r="C178" s="54"/>
      <c r="D178" s="267"/>
      <c r="E178" s="268"/>
      <c r="F178" s="55"/>
      <c r="G178" s="269"/>
      <c r="H178" s="269"/>
      <c r="I178" s="55"/>
      <c r="J178" s="269"/>
      <c r="K178" s="270"/>
      <c r="L178" s="269"/>
      <c r="M178" s="62"/>
      <c r="N178" s="62"/>
      <c r="O178" s="62"/>
      <c r="P178" s="62"/>
      <c r="Q178" s="62"/>
      <c r="R178" s="62"/>
      <c r="W178" s="60"/>
    </row>
    <row r="179" spans="1:23" s="214" customFormat="1" x14ac:dyDescent="0.25">
      <c r="A179" s="266"/>
      <c r="B179" s="266"/>
      <c r="C179" s="54"/>
      <c r="D179" s="267"/>
      <c r="E179" s="268"/>
      <c r="F179" s="55"/>
      <c r="G179" s="269"/>
      <c r="H179" s="269"/>
      <c r="I179" s="55"/>
      <c r="J179" s="269"/>
      <c r="K179" s="270"/>
      <c r="L179" s="269"/>
      <c r="M179" s="62"/>
      <c r="N179" s="62"/>
      <c r="O179" s="62"/>
      <c r="P179" s="62"/>
      <c r="Q179" s="62"/>
      <c r="R179" s="62"/>
      <c r="W179" s="60"/>
    </row>
    <row r="180" spans="1:23" s="214" customFormat="1" x14ac:dyDescent="0.25">
      <c r="A180" s="266"/>
      <c r="B180" s="266"/>
      <c r="C180" s="54"/>
      <c r="D180" s="267"/>
      <c r="E180" s="268"/>
      <c r="F180" s="55"/>
      <c r="G180" s="269"/>
      <c r="H180" s="269"/>
      <c r="I180" s="55"/>
      <c r="J180" s="269"/>
      <c r="K180" s="270"/>
      <c r="L180" s="269"/>
      <c r="M180" s="62"/>
      <c r="N180" s="62"/>
      <c r="O180" s="62"/>
      <c r="P180" s="62"/>
      <c r="Q180" s="62"/>
      <c r="R180" s="62"/>
      <c r="W180" s="60"/>
    </row>
    <row r="181" spans="1:23" s="214" customFormat="1" x14ac:dyDescent="0.25">
      <c r="A181" s="266"/>
      <c r="B181" s="266"/>
      <c r="C181" s="54"/>
      <c r="D181" s="267"/>
      <c r="E181" s="268"/>
      <c r="F181" s="55"/>
      <c r="G181" s="269"/>
      <c r="H181" s="269"/>
      <c r="I181" s="55"/>
      <c r="J181" s="269"/>
      <c r="K181" s="270"/>
      <c r="L181" s="269"/>
      <c r="M181" s="62"/>
      <c r="N181" s="62"/>
      <c r="O181" s="62"/>
      <c r="P181" s="62"/>
      <c r="Q181" s="62"/>
      <c r="R181" s="62"/>
      <c r="W181" s="60"/>
    </row>
    <row r="182" spans="1:23" s="214" customFormat="1" x14ac:dyDescent="0.25">
      <c r="A182" s="266"/>
      <c r="B182" s="266"/>
      <c r="C182" s="54"/>
      <c r="D182" s="267"/>
      <c r="E182" s="268"/>
      <c r="F182" s="55"/>
      <c r="G182" s="269"/>
      <c r="H182" s="269"/>
      <c r="I182" s="55"/>
      <c r="J182" s="269"/>
      <c r="K182" s="270"/>
      <c r="L182" s="269"/>
      <c r="M182" s="62"/>
      <c r="N182" s="62"/>
      <c r="O182" s="62"/>
      <c r="P182" s="62"/>
      <c r="Q182" s="62"/>
      <c r="R182" s="62"/>
      <c r="W182" s="60"/>
    </row>
    <row r="183" spans="1:23" s="214" customFormat="1" x14ac:dyDescent="0.25">
      <c r="A183" s="266"/>
      <c r="B183" s="266"/>
      <c r="C183" s="54"/>
      <c r="D183" s="267"/>
      <c r="E183" s="268"/>
      <c r="F183" s="55"/>
      <c r="G183" s="269"/>
      <c r="H183" s="269"/>
      <c r="I183" s="55"/>
      <c r="J183" s="269"/>
      <c r="K183" s="270"/>
      <c r="L183" s="269"/>
      <c r="M183" s="62"/>
      <c r="N183" s="62"/>
      <c r="O183" s="62"/>
      <c r="P183" s="62"/>
      <c r="Q183" s="62"/>
      <c r="R183" s="62"/>
      <c r="W183" s="60"/>
    </row>
  </sheetData>
  <sheetProtection algorithmName="SHA-512" hashValue="6CcrzHnMI41I9lSGrTnozQCsZ7ok0TZTOH6x9+v6CIHFJPh8cm+84gktej6dw8bvAxyshp2CHCs9jR0lgJVeDA==" saltValue="ZZCOXu8GqWzuDYvYH7O7xQ==" spinCount="100000" sheet="1" formatCells="0" formatColumns="0" formatRows="0"/>
  <mergeCells count="98">
    <mergeCell ref="M19:T19"/>
    <mergeCell ref="M14:T14"/>
    <mergeCell ref="M15:T15"/>
    <mergeCell ref="M16:T16"/>
    <mergeCell ref="M17:T17"/>
    <mergeCell ref="M18:T18"/>
    <mergeCell ref="M1:T1"/>
    <mergeCell ref="M3:T3"/>
    <mergeCell ref="M5:T5"/>
    <mergeCell ref="M12:T12"/>
    <mergeCell ref="M13:T13"/>
    <mergeCell ref="M20:T20"/>
    <mergeCell ref="M21:T21"/>
    <mergeCell ref="M22:T22"/>
    <mergeCell ref="M23:T23"/>
    <mergeCell ref="M24:T24"/>
    <mergeCell ref="M25:T25"/>
    <mergeCell ref="M26:T26"/>
    <mergeCell ref="M27:T27"/>
    <mergeCell ref="M28:T28"/>
    <mergeCell ref="M29:T29"/>
    <mergeCell ref="M34:T34"/>
    <mergeCell ref="M35:T35"/>
    <mergeCell ref="M36:T36"/>
    <mergeCell ref="M37:T37"/>
    <mergeCell ref="M38:T38"/>
    <mergeCell ref="M39:T39"/>
    <mergeCell ref="M40:T40"/>
    <mergeCell ref="M41:T41"/>
    <mergeCell ref="M48:T48"/>
    <mergeCell ref="M49:T49"/>
    <mergeCell ref="M50:T50"/>
    <mergeCell ref="M51:T51"/>
    <mergeCell ref="M52:T52"/>
    <mergeCell ref="M53:T53"/>
    <mergeCell ref="M54:T54"/>
    <mergeCell ref="M55:T55"/>
    <mergeCell ref="M56:T56"/>
    <mergeCell ref="M57:T57"/>
    <mergeCell ref="M58:T58"/>
    <mergeCell ref="M59:T59"/>
    <mergeCell ref="M60:T60"/>
    <mergeCell ref="M63:T63"/>
    <mergeCell ref="M68:T68"/>
    <mergeCell ref="M69:T69"/>
    <mergeCell ref="M70:T70"/>
    <mergeCell ref="M71:T71"/>
    <mergeCell ref="M72:T72"/>
    <mergeCell ref="M73:T73"/>
    <mergeCell ref="M74:T74"/>
    <mergeCell ref="M75:T75"/>
    <mergeCell ref="M76:T76"/>
    <mergeCell ref="M77:T77"/>
    <mergeCell ref="M78:T78"/>
    <mergeCell ref="M79:T79"/>
    <mergeCell ref="M80:T80"/>
    <mergeCell ref="M81:T81"/>
    <mergeCell ref="M82:T82"/>
    <mergeCell ref="M83:T83"/>
    <mergeCell ref="M84:T84"/>
    <mergeCell ref="M85:T85"/>
    <mergeCell ref="M86:T86"/>
    <mergeCell ref="M87:T87"/>
    <mergeCell ref="M89:T89"/>
    <mergeCell ref="M96:T96"/>
    <mergeCell ref="M97:T97"/>
    <mergeCell ref="M98:T98"/>
    <mergeCell ref="M99:T99"/>
    <mergeCell ref="M100:T100"/>
    <mergeCell ref="M101:T101"/>
    <mergeCell ref="M102:T102"/>
    <mergeCell ref="M103:T103"/>
    <mergeCell ref="M104:T104"/>
    <mergeCell ref="M105:T105"/>
    <mergeCell ref="M106:T106"/>
    <mergeCell ref="M107:T107"/>
    <mergeCell ref="M121:T121"/>
    <mergeCell ref="M108:T108"/>
    <mergeCell ref="M109:T109"/>
    <mergeCell ref="M110:T110"/>
    <mergeCell ref="M111:T111"/>
    <mergeCell ref="M112:T112"/>
    <mergeCell ref="U1:U2"/>
    <mergeCell ref="W1:W2"/>
    <mergeCell ref="M127:T127"/>
    <mergeCell ref="M128:T128"/>
    <mergeCell ref="M7:T7"/>
    <mergeCell ref="M43:T43"/>
    <mergeCell ref="M91:T91"/>
    <mergeCell ref="M122:T122"/>
    <mergeCell ref="M123:T123"/>
    <mergeCell ref="M124:T124"/>
    <mergeCell ref="M125:T125"/>
    <mergeCell ref="M126:T126"/>
    <mergeCell ref="M117:T117"/>
    <mergeCell ref="M118:T118"/>
    <mergeCell ref="M119:T119"/>
    <mergeCell ref="M120:T120"/>
  </mergeCells>
  <conditionalFormatting sqref="E3">
    <cfRule type="dataBar" priority="170">
      <dataBar>
        <cfvo type="num" val="0.1"/>
        <cfvo type="num" val="1"/>
        <color theme="9" tint="0.39997558519241921"/>
      </dataBar>
      <extLst>
        <ext xmlns:x14="http://schemas.microsoft.com/office/spreadsheetml/2009/9/main" uri="{B025F937-C7B1-47D3-B67F-A62EFF666E3E}">
          <x14:id>{20E8B1F8-D4E1-46EE-ADCA-9EBB6520FCBC}</x14:id>
        </ext>
      </extLst>
    </cfRule>
  </conditionalFormatting>
  <conditionalFormatting sqref="E8">
    <cfRule type="dataBar" priority="173">
      <dataBar>
        <cfvo type="num" val="0.1"/>
        <cfvo type="num" val="1"/>
        <color theme="9" tint="0.39997558519241921"/>
      </dataBar>
      <extLst>
        <ext xmlns:x14="http://schemas.microsoft.com/office/spreadsheetml/2009/9/main" uri="{B025F937-C7B1-47D3-B67F-A62EFF666E3E}">
          <x14:id>{0B25E6ED-A21F-41C4-9A2A-7857A206231F}</x14:id>
        </ext>
      </extLst>
    </cfRule>
  </conditionalFormatting>
  <conditionalFormatting sqref="E11">
    <cfRule type="expression" dxfId="812" priority="118">
      <formula>AND(B11&lt;&gt;1,ISNUMBER(C11),OR(ISNUMBER(D11),D11="PG"))</formula>
    </cfRule>
  </conditionalFormatting>
  <conditionalFormatting sqref="E12:E15 E17:E29">
    <cfRule type="expression" dxfId="811" priority="119">
      <formula>AND(B12&lt;&gt;1,ISNUMBER(C12),ISNUMBER(D12))</formula>
    </cfRule>
  </conditionalFormatting>
  <conditionalFormatting sqref="E33">
    <cfRule type="expression" dxfId="810" priority="117">
      <formula>AND(B33&lt;&gt;1,ISNUMBER(C33),OR(ISNUMBER(D33),D33="PG"))</formula>
    </cfRule>
  </conditionalFormatting>
  <conditionalFormatting sqref="E34:E41">
    <cfRule type="expression" dxfId="809" priority="116">
      <formula>AND(B34&lt;&gt;1,ISNUMBER(C34),ISNUMBER(D34))</formula>
    </cfRule>
  </conditionalFormatting>
  <conditionalFormatting sqref="E44">
    <cfRule type="dataBar" priority="172">
      <dataBar>
        <cfvo type="num" val="0.1"/>
        <cfvo type="num" val="1"/>
        <color theme="9" tint="0.39997558519241921"/>
      </dataBar>
      <extLst>
        <ext xmlns:x14="http://schemas.microsoft.com/office/spreadsheetml/2009/9/main" uri="{B025F937-C7B1-47D3-B67F-A62EFF666E3E}">
          <x14:id>{64DA6EAA-DAE8-49A9-BA2D-A32DF946E027}</x14:id>
        </ext>
      </extLst>
    </cfRule>
  </conditionalFormatting>
  <conditionalFormatting sqref="E47">
    <cfRule type="expression" dxfId="808" priority="114">
      <formula>AND(B47&lt;&gt;1,ISNUMBER(C47),OR(ISNUMBER(D47),D47="PG"))</formula>
    </cfRule>
  </conditionalFormatting>
  <conditionalFormatting sqref="E48:E63">
    <cfRule type="expression" dxfId="807" priority="115">
      <formula>AND(B48&lt;&gt;1,ISNUMBER(C48),ISNUMBER(D48))</formula>
    </cfRule>
  </conditionalFormatting>
  <conditionalFormatting sqref="E67">
    <cfRule type="expression" dxfId="806" priority="112">
      <formula>AND(B67&lt;&gt;1,ISNUMBER(C67),OR(ISNUMBER(D67),D67="PG"))</formula>
    </cfRule>
  </conditionalFormatting>
  <conditionalFormatting sqref="E68:E89">
    <cfRule type="expression" dxfId="805" priority="113">
      <formula>AND(B68&lt;&gt;1,ISNUMBER(C68),ISNUMBER(D68))</formula>
    </cfRule>
  </conditionalFormatting>
  <conditionalFormatting sqref="E92">
    <cfRule type="dataBar" priority="171">
      <dataBar>
        <cfvo type="num" val="0.1"/>
        <cfvo type="num" val="1"/>
        <color theme="9" tint="0.39997558519241921"/>
      </dataBar>
      <extLst>
        <ext xmlns:x14="http://schemas.microsoft.com/office/spreadsheetml/2009/9/main" uri="{B025F937-C7B1-47D3-B67F-A62EFF666E3E}">
          <x14:id>{7C5BE242-95AA-4F25-A993-CB33D4E7DB48}</x14:id>
        </ext>
      </extLst>
    </cfRule>
  </conditionalFormatting>
  <conditionalFormatting sqref="E95">
    <cfRule type="expression" dxfId="804" priority="110">
      <formula>AND(B95&lt;&gt;1,ISNUMBER(C95),OR(ISNUMBER(D95),D95="PG"))</formula>
    </cfRule>
  </conditionalFormatting>
  <conditionalFormatting sqref="E96:E112">
    <cfRule type="expression" dxfId="803" priority="111">
      <formula>AND(B96&lt;&gt;1,ISNUMBER(C96),ISNUMBER(D96))</formula>
    </cfRule>
  </conditionalFormatting>
  <conditionalFormatting sqref="E116">
    <cfRule type="expression" dxfId="802" priority="108">
      <formula>AND(B116&lt;&gt;1,ISNUMBER(C116),OR(ISNUMBER(D116),D116="PG"))</formula>
    </cfRule>
  </conditionalFormatting>
  <conditionalFormatting sqref="E117:E128">
    <cfRule type="expression" dxfId="801" priority="109">
      <formula>AND(B117&lt;&gt;1,ISNUMBER(C117),ISNUMBER(D117))</formula>
    </cfRule>
  </conditionalFormatting>
  <conditionalFormatting sqref="F11:F29">
    <cfRule type="expression" dxfId="800" priority="69">
      <formula>OR(AND($B11=1,LEN(F11)&gt;1,F11&lt;&gt;"NA"),AND($B11=0,ISNUMBER($C11)))</formula>
    </cfRule>
  </conditionalFormatting>
  <conditionalFormatting sqref="F33:F41">
    <cfRule type="expression" dxfId="799" priority="20">
      <formula>OR(AND($B33=1,LEN(F33)&gt;1,F33&lt;&gt;"NA"),AND($B33=0,ISNUMBER($C33)))</formula>
    </cfRule>
  </conditionalFormatting>
  <conditionalFormatting sqref="F47:F63">
    <cfRule type="expression" dxfId="798" priority="19">
      <formula>OR(AND($B47=1,LEN(F47)&gt;1,F47&lt;&gt;"NA"),AND($B47=0,ISNUMBER($C47)))</formula>
    </cfRule>
  </conditionalFormatting>
  <conditionalFormatting sqref="F67:F89">
    <cfRule type="expression" dxfId="797" priority="18">
      <formula>OR(AND($B67=1,LEN(F67)&gt;1,F67&lt;&gt;"NA"),AND($B67=0,ISNUMBER($C67)))</formula>
    </cfRule>
  </conditionalFormatting>
  <conditionalFormatting sqref="F95:F112">
    <cfRule type="expression" dxfId="796" priority="17">
      <formula>OR(AND($B95=1,LEN(F95)&gt;1,F95&lt;&gt;"NA"),AND($B95=0,ISNUMBER($C95)))</formula>
    </cfRule>
  </conditionalFormatting>
  <conditionalFormatting sqref="F116:F128">
    <cfRule type="expression" dxfId="795" priority="16">
      <formula>OR(AND($B116=1,LEN(F116)&gt;1,F116&lt;&gt;"NA"),AND($B116=0,ISNUMBER($C116)))</formula>
    </cfRule>
  </conditionalFormatting>
  <conditionalFormatting sqref="G11:G29">
    <cfRule type="expression" dxfId="794" priority="65" stopIfTrue="1">
      <formula>AND(B11=1,OR(F11="S",F11="N",ISBLANK(F11)), ISBLANK(G11))</formula>
    </cfRule>
    <cfRule type="expression" dxfId="793" priority="64" stopIfTrue="1">
      <formula>AND(B11=1,F11="NA", ISBLANK(G11))</formula>
    </cfRule>
    <cfRule type="expression" dxfId="792" priority="247">
      <formula>AND(B11=1,OR(F11="S",F11="N"), NOT(ISBLANK(G11)))</formula>
    </cfRule>
  </conditionalFormatting>
  <conditionalFormatting sqref="G33:G41">
    <cfRule type="expression" dxfId="791" priority="57">
      <formula>AND(B33=1,OR(F33="S",F33="N"), NOT(ISBLANK(G33)))</formula>
    </cfRule>
    <cfRule type="expression" dxfId="790" priority="56" stopIfTrue="1">
      <formula>AND(B33=1,OR(F33="S",F33="N",ISBLANK(F33)), ISBLANK(G33))</formula>
    </cfRule>
    <cfRule type="expression" dxfId="789" priority="55" stopIfTrue="1">
      <formula>AND(B33=1,F33="NA", ISBLANK(G33))</formula>
    </cfRule>
  </conditionalFormatting>
  <conditionalFormatting sqref="G47:G63">
    <cfRule type="expression" dxfId="788" priority="54">
      <formula>AND(B47=1,OR(F47="S",F47="N"), NOT(ISBLANK(G47)))</formula>
    </cfRule>
    <cfRule type="expression" dxfId="787" priority="53" stopIfTrue="1">
      <formula>AND(B47=1,OR(F47="S",F47="N",ISBLANK(F47)), ISBLANK(G47))</formula>
    </cfRule>
    <cfRule type="expression" dxfId="786" priority="52" stopIfTrue="1">
      <formula>AND(B47=1,F47="NA", ISBLANK(G47))</formula>
    </cfRule>
  </conditionalFormatting>
  <conditionalFormatting sqref="G67:G89">
    <cfRule type="expression" dxfId="785" priority="50" stopIfTrue="1">
      <formula>AND(B67=1,OR(F67="S",F67="N",ISBLANK(F67)), ISBLANK(G67))</formula>
    </cfRule>
    <cfRule type="expression" dxfId="784" priority="51">
      <formula>AND(B67=1,OR(F67="S",F67="N"), NOT(ISBLANK(G67)))</formula>
    </cfRule>
    <cfRule type="expression" dxfId="783" priority="49" stopIfTrue="1">
      <formula>AND(B67=1,F67="NA", ISBLANK(G67))</formula>
    </cfRule>
  </conditionalFormatting>
  <conditionalFormatting sqref="G95:G112">
    <cfRule type="expression" dxfId="782" priority="47" stopIfTrue="1">
      <formula>AND(B95=1,OR(F95="S",F95="N",ISBLANK(F95)), ISBLANK(G95))</formula>
    </cfRule>
    <cfRule type="expression" dxfId="781" priority="46" stopIfTrue="1">
      <formula>AND(B95=1,F95="NA", ISBLANK(G95))</formula>
    </cfRule>
    <cfRule type="expression" dxfId="780" priority="48">
      <formula>AND(B95=1,OR(F95="S",F95="N"), NOT(ISBLANK(G95)))</formula>
    </cfRule>
  </conditionalFormatting>
  <conditionalFormatting sqref="G116:G128">
    <cfRule type="expression" dxfId="779" priority="45">
      <formula>AND(B116=1,OR(F116="S",F116="N"), NOT(ISBLANK(G116)))</formula>
    </cfRule>
    <cfRule type="expression" dxfId="778" priority="44" stopIfTrue="1">
      <formula>AND(B116=1,OR(F116="S",F116="N",ISBLANK(F116)), ISBLANK(G116))</formula>
    </cfRule>
    <cfRule type="expression" dxfId="777" priority="43" stopIfTrue="1">
      <formula>AND(B116=1,F116="NA", ISBLANK(G116))</formula>
    </cfRule>
  </conditionalFormatting>
  <conditionalFormatting sqref="K11:K29">
    <cfRule type="expression" dxfId="776" priority="63" stopIfTrue="1">
      <formula>AND($B11=1,OR($F11="N",$F11="NA"))</formula>
    </cfRule>
    <cfRule type="expression" dxfId="775" priority="96" stopIfTrue="1">
      <formula>AND($B11=1,OR($F11="S",$F11="P"),ISBLANK($K11))</formula>
    </cfRule>
  </conditionalFormatting>
  <conditionalFormatting sqref="K33:K41">
    <cfRule type="expression" dxfId="772" priority="14" stopIfTrue="1">
      <formula>AND($B33=1,OR($F33="S",$F33="P"),ISBLANK($K33))</formula>
    </cfRule>
    <cfRule type="expression" dxfId="771" priority="13" stopIfTrue="1">
      <formula>AND($B33=1,OR($F33="N",$F33="NA"))</formula>
    </cfRule>
  </conditionalFormatting>
  <conditionalFormatting sqref="K47:K63">
    <cfRule type="expression" dxfId="769" priority="11" stopIfTrue="1">
      <formula>AND($B47=1,OR($F47="S",$F47="P"),ISBLANK($K47))</formula>
    </cfRule>
    <cfRule type="expression" dxfId="768" priority="10" stopIfTrue="1">
      <formula>AND($B47=1,OR($F47="N",$F47="NA"))</formula>
    </cfRule>
  </conditionalFormatting>
  <conditionalFormatting sqref="K67:K89">
    <cfRule type="expression" dxfId="766" priority="8" stopIfTrue="1">
      <formula>AND($B67=1,OR($F67="S",$F67="P"),ISBLANK($K67))</formula>
    </cfRule>
    <cfRule type="expression" dxfId="765" priority="7" stopIfTrue="1">
      <formula>AND($B67=1,OR($F67="N",$F67="NA"))</formula>
    </cfRule>
  </conditionalFormatting>
  <conditionalFormatting sqref="K95:K112">
    <cfRule type="expression" dxfId="763" priority="5" stopIfTrue="1">
      <formula>AND($B95=1,OR($F95="S",$F95="P"),ISBLANK($K95))</formula>
    </cfRule>
    <cfRule type="expression" dxfId="762" priority="4" stopIfTrue="1">
      <formula>AND($B95=1,OR($F95="N",$F95="NA"))</formula>
    </cfRule>
  </conditionalFormatting>
  <conditionalFormatting sqref="K116:K128">
    <cfRule type="expression" dxfId="761" priority="1" stopIfTrue="1">
      <formula>AND($B116=1,OR($F116="N",$F116="NA"))</formula>
    </cfRule>
    <cfRule type="expression" dxfId="759" priority="2" stopIfTrue="1">
      <formula>AND($B116=1,OR($F116="S",$F116="P"),ISBLANK($K116))</formula>
    </cfRule>
  </conditionalFormatting>
  <conditionalFormatting sqref="V5">
    <cfRule type="expression" dxfId="758" priority="71">
      <formula>AND((L5=1),ISBLANK($V5))</formula>
    </cfRule>
  </conditionalFormatting>
  <conditionalFormatting sqref="V11:V41">
    <cfRule type="expression" dxfId="757" priority="97">
      <formula>AND((L11=1),ISBLANK($V11))</formula>
    </cfRule>
  </conditionalFormatting>
  <conditionalFormatting sqref="V47:V63">
    <cfRule type="expression" dxfId="756" priority="27">
      <formula>AND((L47=1),ISBLANK($V47))</formula>
    </cfRule>
  </conditionalFormatting>
  <conditionalFormatting sqref="V67:V89">
    <cfRule type="expression" dxfId="755" priority="26">
      <formula>AND((L67=1),ISBLANK($V67))</formula>
    </cfRule>
  </conditionalFormatting>
  <conditionalFormatting sqref="V95:V112">
    <cfRule type="expression" dxfId="754" priority="25">
      <formula>AND((L95=1),ISBLANK($V95))</formula>
    </cfRule>
  </conditionalFormatting>
  <conditionalFormatting sqref="V116:V128">
    <cfRule type="expression" dxfId="753" priority="24">
      <formula>AND((L116=1),ISBLANK($V116))</formula>
    </cfRule>
  </conditionalFormatting>
  <dataValidations count="5">
    <dataValidation type="list" allowBlank="1" showInputMessage="1" showErrorMessage="1" error="Opção inválida!" sqref="U47 U33 M67:O67 U95 U11 Q67:S67 M47:O47 M11:O11 M33:O33 M95:O95 U67 U116 Q11:S11 Q33:S33 Q95:S95 Q47:S47 M116:O116 Q116:S116" xr:uid="{9B70A0C8-B79A-407A-B6C1-0F9DB8ADF66E}">
      <formula1>"0,1,2,3,4"</formula1>
    </dataValidation>
    <dataValidation type="list" allowBlank="1" showDropDown="1" showInputMessage="1" showErrorMessage="1" error="opção inválida!" sqref="F11:F41 F47:F89 F95:F129" xr:uid="{B5DCACA7-9442-4B24-B84C-C114BED0890A}">
      <formula1>"s,n,S,N,p,P,na,NA,Na"</formula1>
    </dataValidation>
    <dataValidation type="list" allowBlank="1" showDropDown="1" showInputMessage="1" showErrorMessage="1" error="opção inválida!" sqref="I116:I128 I11:I29 I33:I41 I67:I89 I95:I112 I47:I63" xr:uid="{F740D3AF-1F21-4EBD-A266-D944C4A05BCB}">
      <formula1>"s,n,p,S,N,P"</formula1>
    </dataValidation>
    <dataValidation type="list" allowBlank="1" showDropDown="1" showInputMessage="1" showErrorMessage="1" error="Opção inválida!" prompt="Há inovação?_x000a_1:Sim_x000a_0:Não" sqref="T11 T33 T95 T47 T67 T116" xr:uid="{0B6F9E30-3F1B-4BD9-A365-70A7E710CDED}">
      <formula1>"0,1"</formula1>
    </dataValidation>
    <dataValidation type="list" allowBlank="1" showDropDown="1" showInputMessage="1" showErrorMessage="1" error="Opção inválida!" prompt="Aplica I.A.?   _x000a_1:SIm   _x000a_0 :Não" sqref="P11 P33 P95 P47 P67 P116" xr:uid="{950657A4-A687-476B-A50A-AD829ED729DC}">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20E8B1F8-D4E1-46EE-ADCA-9EBB6520FCBC}">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0B25E6ED-A21F-41C4-9A2A-7857A206231F}">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64DA6EAA-DAE8-49A9-BA2D-A32DF946E027}">
            <x14:dataBar minLength="0" maxLength="100" gradient="0">
              <x14:cfvo type="num">
                <xm:f>0.1</xm:f>
              </x14:cfvo>
              <x14:cfvo type="num">
                <xm:f>1</xm:f>
              </x14:cfvo>
              <x14:negativeFillColor rgb="FFFF0000"/>
              <x14:axisColor rgb="FF000000"/>
            </x14:dataBar>
          </x14:cfRule>
          <xm:sqref>E44</xm:sqref>
        </x14:conditionalFormatting>
        <x14:conditionalFormatting xmlns:xm="http://schemas.microsoft.com/office/excel/2006/main">
          <x14:cfRule type="dataBar" id="{7C5BE242-95AA-4F25-A993-CB33D4E7DB48}">
            <x14:dataBar minLength="0" maxLength="100" gradient="0">
              <x14:cfvo type="num">
                <xm:f>0.1</xm:f>
              </x14:cfvo>
              <x14:cfvo type="num">
                <xm:f>1</xm:f>
              </x14:cfvo>
              <x14:negativeFillColor rgb="FFFF0000"/>
              <x14:axisColor rgb="FF000000"/>
            </x14:dataBar>
          </x14:cfRule>
          <xm:sqref>E92</xm:sqref>
        </x14:conditionalFormatting>
        <x14:conditionalFormatting xmlns:xm="http://schemas.microsoft.com/office/excel/2006/main">
          <x14:cfRule type="expression" priority="106" id="{87109610-D5BF-4AAA-BEB4-F066A7FE6FDF}">
            <xm:f>AND(B11=1,$J11&gt;Capa!$H$23)</xm:f>
            <x14:dxf>
              <fill>
                <patternFill>
                  <bgColor rgb="FFFFCCCC"/>
                </patternFill>
              </fill>
            </x14:dxf>
          </x14:cfRule>
          <xm:sqref>K11:K29</xm:sqref>
        </x14:conditionalFormatting>
        <x14:conditionalFormatting xmlns:xm="http://schemas.microsoft.com/office/excel/2006/main">
          <x14:cfRule type="expression" priority="15" id="{FE69F25B-C309-448A-A3C4-91D22797AB75}">
            <xm:f>AND(B33=1,$J33&gt;Capa!$H$23)</xm:f>
            <x14:dxf>
              <fill>
                <patternFill>
                  <bgColor rgb="FFFFCCCC"/>
                </patternFill>
              </fill>
            </x14:dxf>
          </x14:cfRule>
          <xm:sqref>K33:K41</xm:sqref>
        </x14:conditionalFormatting>
        <x14:conditionalFormatting xmlns:xm="http://schemas.microsoft.com/office/excel/2006/main">
          <x14:cfRule type="expression" priority="12" id="{EFDB58A9-CC59-4898-8D40-5C003E8ACA5E}">
            <xm:f>AND(B47=1,$J47&gt;Capa!$H$23)</xm:f>
            <x14:dxf>
              <fill>
                <patternFill>
                  <bgColor rgb="FFFFCCCC"/>
                </patternFill>
              </fill>
            </x14:dxf>
          </x14:cfRule>
          <xm:sqref>K47:K63</xm:sqref>
        </x14:conditionalFormatting>
        <x14:conditionalFormatting xmlns:xm="http://schemas.microsoft.com/office/excel/2006/main">
          <x14:cfRule type="expression" priority="9" id="{4C26C587-B95A-4468-B68A-131E9CE98AD7}">
            <xm:f>AND(B67=1,$J67&gt;Capa!$H$23)</xm:f>
            <x14:dxf>
              <fill>
                <patternFill>
                  <bgColor rgb="FFFFCCCC"/>
                </patternFill>
              </fill>
            </x14:dxf>
          </x14:cfRule>
          <xm:sqref>K67:K89</xm:sqref>
        </x14:conditionalFormatting>
        <x14:conditionalFormatting xmlns:xm="http://schemas.microsoft.com/office/excel/2006/main">
          <x14:cfRule type="expression" priority="6" id="{1A33C724-775E-4CC8-83AD-F189C154ABF1}">
            <xm:f>AND(B95=1,$J95&gt;Capa!$H$23)</xm:f>
            <x14:dxf>
              <fill>
                <patternFill>
                  <bgColor rgb="FFFFCCCC"/>
                </patternFill>
              </fill>
            </x14:dxf>
          </x14:cfRule>
          <xm:sqref>K95:K112</xm:sqref>
        </x14:conditionalFormatting>
        <x14:conditionalFormatting xmlns:xm="http://schemas.microsoft.com/office/excel/2006/main">
          <x14:cfRule type="expression" priority="3" id="{E854CFBA-FB12-46FB-91AB-49594C74EEBC}">
            <xm:f>AND(B116=1,$J116&gt;Capa!$H$23)</xm:f>
            <x14:dxf>
              <fill>
                <patternFill>
                  <bgColor rgb="FFFFCCCC"/>
                </patternFill>
              </fill>
            </x14:dxf>
          </x14:cfRule>
          <xm:sqref>K116:K128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AG309"/>
  <sheetViews>
    <sheetView zoomScale="115" zoomScaleNormal="115" workbookViewId="0">
      <pane xSplit="5" ySplit="2" topLeftCell="F3" activePane="bottomRight" state="frozen"/>
      <selection pane="topRight" activeCell="F1" sqref="F1"/>
      <selection pane="bottomLeft" activeCell="A3" sqref="A3"/>
      <selection pane="bottomRight" activeCell="F11" sqref="F11"/>
    </sheetView>
  </sheetViews>
  <sheetFormatPr defaultColWidth="8.85546875" defaultRowHeight="26.25" x14ac:dyDescent="0.25"/>
  <cols>
    <col min="1" max="1" width="2.5703125" style="210" customWidth="1"/>
    <col min="2" max="2" width="2.140625" style="210" customWidth="1"/>
    <col min="3" max="3" width="2.85546875" style="1" customWidth="1"/>
    <col min="4" max="4" width="3.5703125" style="271" customWidth="1"/>
    <col min="5" max="5" width="45.42578125" style="272" customWidth="1"/>
    <col min="6" max="6" width="5.85546875" style="31" customWidth="1"/>
    <col min="7" max="7" width="35.140625" style="273" customWidth="1"/>
    <col min="8" max="8" width="0.85546875" style="273" customWidth="1"/>
    <col min="9" max="9" width="5.85546875" style="31" customWidth="1"/>
    <col min="10" max="10" width="1.85546875" style="273" customWidth="1"/>
    <col min="11" max="11" width="31.42578125" style="274" customWidth="1"/>
    <col min="12" max="12" width="2.140625" style="269" customWidth="1"/>
    <col min="13" max="15" width="4.85546875" style="62" customWidth="1"/>
    <col min="16" max="16" width="3.42578125" style="62" customWidth="1"/>
    <col min="17" max="18" width="4.85546875" style="62" customWidth="1"/>
    <col min="19" max="20" width="4.85546875" style="214" customWidth="1"/>
    <col min="21" max="21" width="4.28515625" style="214" customWidth="1"/>
    <col min="22" max="22" width="26.85546875" style="214" customWidth="1"/>
    <col min="23" max="23" width="5.140625" style="60" customWidth="1"/>
    <col min="24" max="24" width="2.85546875" style="214" customWidth="1"/>
    <col min="25" max="25" width="38.5703125" style="214" customWidth="1"/>
    <col min="26" max="26" width="17.5703125" style="214" customWidth="1"/>
    <col min="27" max="27" width="16" style="214" customWidth="1"/>
    <col min="28" max="28" width="15.85546875" style="214" customWidth="1"/>
    <col min="29" max="33" width="9.140625" style="214"/>
    <col min="34" max="16384" width="8.85546875" style="215"/>
  </cols>
  <sheetData>
    <row r="1" spans="1:28" ht="17.100000000000001" customHeight="1" x14ac:dyDescent="0.25">
      <c r="B1" s="275"/>
      <c r="C1" s="139"/>
      <c r="D1" s="276"/>
      <c r="E1" s="277" t="str">
        <f>Capa!A1</f>
        <v xml:space="preserve">MEGplan®ESG </v>
      </c>
      <c r="F1" s="430" t="s">
        <v>22</v>
      </c>
      <c r="G1" s="432"/>
      <c r="H1" s="491"/>
      <c r="I1" s="427"/>
      <c r="J1" s="252"/>
      <c r="K1" s="434"/>
      <c r="L1" s="252"/>
      <c r="M1" s="725" t="s">
        <v>23</v>
      </c>
      <c r="N1" s="726"/>
      <c r="O1" s="726"/>
      <c r="P1" s="726"/>
      <c r="Q1" s="726"/>
      <c r="R1" s="726"/>
      <c r="S1" s="726"/>
      <c r="T1" s="727"/>
      <c r="U1" s="715" t="s">
        <v>24</v>
      </c>
      <c r="V1" s="587"/>
      <c r="W1" s="717" t="s">
        <v>25</v>
      </c>
      <c r="X1" s="602"/>
      <c r="Y1" s="600"/>
      <c r="Z1" s="600"/>
      <c r="AA1" s="600"/>
      <c r="AB1" s="600"/>
    </row>
    <row r="2" spans="1:28" ht="18" customHeight="1" thickBot="1" x14ac:dyDescent="0.3">
      <c r="C2" s="8" t="s">
        <v>26</v>
      </c>
      <c r="D2" s="8" t="s">
        <v>27</v>
      </c>
      <c r="E2" s="386" t="str">
        <f>"PGs: "&amp;SUMIFS($B$1:$B$240,$A$1:$A$240,"="&amp;A4&amp;"??",$D$1:$D$240,"=PG",B$1:B$240,"&gt;0")&amp;"  LV: "&amp;SUMIFS($B$1:$B$240,$A$1:$A$240,"="&amp;A4&amp;"??",$D$1:$D$240,"&lt;&gt;PG",B$1:B$240,"&gt;0")</f>
        <v>PGs: 7  LV: 24</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16"/>
      <c r="V2" s="589" t="s">
        <v>41</v>
      </c>
      <c r="W2" s="718"/>
      <c r="X2" s="603"/>
      <c r="Y2" s="601" t="s">
        <v>42</v>
      </c>
      <c r="Z2" s="601" t="s">
        <v>43</v>
      </c>
      <c r="AA2" s="601" t="s">
        <v>44</v>
      </c>
      <c r="AB2" s="601" t="s">
        <v>45</v>
      </c>
    </row>
    <row r="3" spans="1:28" ht="18" customHeight="1" x14ac:dyDescent="0.25">
      <c r="A3" s="210" t="s">
        <v>155</v>
      </c>
      <c r="B3" s="7" t="str">
        <f>IF(  AND(ISNUMBER(C3),OR(ISNUMBER(D3),D3="PG")),IF(IF(Capa!$B$6="B",0,Capa!$B$6)&gt;=C3,1,0),"")</f>
        <v/>
      </c>
      <c r="C3" s="85"/>
      <c r="D3" s="86"/>
      <c r="E3" s="98">
        <f>IF(SUMIFS($B$1:$B$240,$A$1:$A$240,"="&amp;A4&amp;"??",B$1:B$240,"&gt;0")&lt;=0,0,COUNTIFS($F$1:$F$240,"*",$A$1:$A$240,"="&amp;A4&amp;"??",B$1:B$240,"&gt;0")/SUMIFS($B$1:$B$240,$A$1:$A$240,"="&amp;A4&amp;"??",B$1:B$240,"&gt;0"))</f>
        <v>0</v>
      </c>
      <c r="F3" s="89"/>
      <c r="G3" s="102"/>
      <c r="H3" s="284"/>
      <c r="I3" s="38"/>
      <c r="J3" s="37"/>
      <c r="K3" s="103"/>
      <c r="L3" s="492"/>
      <c r="M3" s="722">
        <f>MIN(IF(OR(Capa!$B$6="B",Capa!$B$6=1),AVERAGE(M7,M91,M118),(M7*'Quadro Geral'!D10+M91*'Quadro Geral'!D11+M118*'Quadro Geral'!D12)/'Quadro Geral'!D9)+U3,1)</f>
        <v>0</v>
      </c>
      <c r="N3" s="723"/>
      <c r="O3" s="723"/>
      <c r="P3" s="723"/>
      <c r="Q3" s="723"/>
      <c r="R3" s="723"/>
      <c r="S3" s="723"/>
      <c r="T3" s="724"/>
      <c r="U3" s="467">
        <f>IF(OR(AND(Capa!$B$6=2,P4&gt;0),AND(Capa!$B$6=3,P4&gt;1)),0.05,0)+IF(AND(Capa!$B$6=3,P4=1),0.02,0)+IF(OR(AND(Capa!$B$6=2,T4&gt;0),AND(Capa!$B$6=3,T4&gt;1)),0.05,0)+IF(AND(Capa!$B$6=3,T4=1),0.02,0)</f>
        <v>0</v>
      </c>
      <c r="V3" s="88"/>
      <c r="W3" s="472"/>
      <c r="X3" s="579"/>
      <c r="Y3" s="579"/>
      <c r="Z3" s="579"/>
      <c r="AA3" s="579"/>
      <c r="AB3" s="579"/>
    </row>
    <row r="4" spans="1:28" x14ac:dyDescent="0.25">
      <c r="A4" s="210" t="s">
        <v>155</v>
      </c>
      <c r="B4" s="7" t="str">
        <f>IF(  AND(ISNUMBER(C4),OR(ISNUMBER(D4),D4="PG")),IF(IF(Capa!$B$6="B",0,Capa!$B$6)&gt;=C4,1,0),"")</f>
        <v/>
      </c>
      <c r="C4" s="11" t="str">
        <f>IF(ISBLANK(D4),"",IF(ISERR(SEARCH(D4&amp;"\","&lt;B&gt;\&lt;1&gt;\&lt;2&gt;\&lt;3&gt;\")),IF(AND(NOT(ISBLANK(C2)),C2&lt;=3),C2,""),
IF(SEARCH(D4&amp;"\","&lt;B&gt;\&lt;1&gt;\&lt;2&gt;\&lt;3&gt;\")=1,0,IF(SEARCH(D4&amp;"\","&lt;B&gt;\&lt;1&gt;\&lt;2&gt;\&lt;3&gt;\")=5,1,IF(SEARCH(D4&amp;"\","&lt;B&gt;\&lt;1&gt;\&lt;2&gt;\&lt;3&gt;\")=9,2,IF(SEARCH(D4&amp;"\","&lt;B&gt;\&lt;1&gt;\&lt;2&gt;\&lt;3&gt;\")=13,3,""))))))</f>
        <v/>
      </c>
      <c r="D4" s="217"/>
      <c r="E4" s="218" t="s">
        <v>156</v>
      </c>
      <c r="F4" s="382">
        <f>IF(COUNTIFS($A$1:$A$240,"="&amp;A4&amp;"??",$B$1:$B$240,"&gt;0",$D$1:$D$240,"&gt;0")&gt;0,(COUNTIFS($A$1:$A$240,"="&amp;A4&amp;"??",$B$1:$B$240,"&gt;0",$D$1:$D$240,"&gt;0",F$1:F$240,"=S")+COUNTIFS($A$1:$A$240,"="&amp;A4&amp;"??",$B$1:$B$240,"&gt;0",$D$1:$D$240,"&gt;0",$F$1:$F$240,"=P")+COUNTIFS($A$1:$A$240,"="&amp;A4&amp;"??",$B$1:$B$240,"&gt;0",$D$1:$D$240,"&gt;0",F$1:F$240,"=N")+COUNTIFS($A$1:$A$240,"="&amp;A4&amp;"??",$B$1:$B$240,"&gt;0",$D$1:$D$240,"&gt;0",F$1:F$240,"=NA"))/COUNTIFS($A$1:$A$240,"="&amp;A4&amp;"??",$B$1:$B$240,"&gt;0",$D$1:$D$240,"&gt;0"),0)</f>
        <v>0</v>
      </c>
      <c r="G4" s="235"/>
      <c r="H4" s="220"/>
      <c r="I4" s="494">
        <f>IF(COUNTIFS($A$1:$A$240,"="&amp;A4&amp;"??",$B$1:$B$240,"&gt;0",$D$1:$D$240,"&gt;0")&gt;0,
        (COUNTIFS($A$1:$A$240,"="&amp;A4&amp;"??",$B$1:$B$240,"&gt;0",$D$1:$D$240,"&gt;0",F$1:F$240,"=S",I$1:I$240,"") +
         (COUNTIFS($A$1:$A$240,"="&amp;A4&amp;"??",$B$1:$B$240,"&gt;0",$D$1:$D$240,"&gt;0",$F$1:$F$240,"=P",I$1:I$240,"")/2) +
         COUNTIFS($A$1:$A$240,"="&amp;A4&amp;"??",$B$1:$B$240,"&gt;0",$D$1:$D$240,"&gt;0",I$1:I$240,"=S") +
         (COUNTIFS($A$1:$A$240,"="&amp;A4&amp;"??",$B$1:$B$240,"&gt;0",$D$1:$D$240,"&gt;0",I$1:I$240,"=P")/2)
         )/COUNTIFS($A$1:$A$240,"="&amp;A4&amp;"??",$B$1:$B$240,"&gt;0",$D$1:$D$240,"&gt;0"),0)</f>
        <v>0</v>
      </c>
      <c r="J4" s="235"/>
      <c r="K4" s="283"/>
      <c r="L4" s="278"/>
      <c r="M4" s="105">
        <f>AVERAGE(M8,M92,M119)</f>
        <v>0</v>
      </c>
      <c r="N4" s="105">
        <f>AVERAGE(N8,N92,N118)</f>
        <v>0</v>
      </c>
      <c r="O4" s="105">
        <f>AVERAGE(O8,O92,O118)</f>
        <v>0</v>
      </c>
      <c r="P4" s="414">
        <f>P8+P92+P119</f>
        <v>0</v>
      </c>
      <c r="Q4" s="105">
        <f>AVERAGE(Q8,Q92,Q118)</f>
        <v>0</v>
      </c>
      <c r="R4" s="105">
        <f>AVERAGE(R8,R92,R118)</f>
        <v>0</v>
      </c>
      <c r="S4" s="105">
        <f>AVERAGE(S8,S92,S118)</f>
        <v>0</v>
      </c>
      <c r="T4" s="414">
        <f>T8+T92+T119</f>
        <v>0</v>
      </c>
      <c r="U4" s="452"/>
      <c r="V4" s="221"/>
      <c r="W4" s="66"/>
      <c r="X4" s="579"/>
      <c r="Y4" s="579"/>
      <c r="Z4" s="579"/>
      <c r="AA4" s="579"/>
      <c r="AB4" s="579"/>
    </row>
    <row r="5" spans="1:28" ht="38.25" x14ac:dyDescent="0.25">
      <c r="A5" s="210" t="s">
        <v>155</v>
      </c>
      <c r="B5" s="7" t="str">
        <f>IF(  AND(ISNUMBER(C5),OR(ISNUMBER(D5),D5="PG")),IF(IF(Capa!$B$6="B",0,Capa!$B$6)&gt;=C5,1,0),"")</f>
        <v/>
      </c>
      <c r="C5" s="16" t="str">
        <f>IF(ISBLANK(D5),"",IF(ISERR(SEARCH(D5&amp;"\","&lt;B&gt;\&lt;1&gt;\&lt;2&gt;\&lt;3&gt;\")),IF(AND(NOT(ISBLANK(C4)),C4&lt;=3),C4,""),
IF(SEARCH(D5&amp;"\","&lt;B&gt;\&lt;1&gt;\&lt;2&gt;\&lt;3&gt;\")=1,0,IF(SEARCH(D5&amp;"\","&lt;B&gt;\&lt;1&gt;\&lt;2&gt;\&lt;3&gt;\")=5,1,IF(SEARCH(D5&amp;"\","&lt;B&gt;\&lt;1&gt;\&lt;2&gt;\&lt;3&gt;\")=9,2,IF(SEARCH(D5&amp;"\","&lt;B&gt;\&lt;1&gt;\&lt;2&gt;\&lt;3&gt;\")=13,3,""))))))</f>
        <v/>
      </c>
      <c r="D5" s="222"/>
      <c r="E5" s="400" t="s">
        <v>157</v>
      </c>
      <c r="F5" s="290"/>
      <c r="G5" s="290"/>
      <c r="H5" s="235"/>
      <c r="I5" s="385"/>
      <c r="J5" s="235"/>
      <c r="K5" s="223"/>
      <c r="L5" s="702" t="str">
        <f>IF($F$4&gt;0.9,1,"")</f>
        <v/>
      </c>
      <c r="M5" s="728"/>
      <c r="N5" s="729"/>
      <c r="O5" s="729"/>
      <c r="P5" s="729"/>
      <c r="Q5" s="729"/>
      <c r="R5" s="729"/>
      <c r="S5" s="729"/>
      <c r="T5" s="730"/>
      <c r="U5" s="280"/>
      <c r="V5" s="464"/>
      <c r="W5" s="473"/>
      <c r="X5" s="522"/>
      <c r="Y5" s="522"/>
      <c r="Z5" s="522"/>
      <c r="AA5" s="522"/>
      <c r="AB5" s="522"/>
    </row>
    <row r="6" spans="1:28" ht="9.6" customHeight="1" x14ac:dyDescent="0.25">
      <c r="B6" s="7" t="str">
        <f>IF(  AND(ISNUMBER(C6),OR(ISNUMBER(D6),D6="PG")),IF(IF(Capa!$B$6="B",0,Capa!$B$6)&gt;=C6,1,0),"")</f>
        <v/>
      </c>
      <c r="C6" s="118" t="str">
        <f>IF(ISBLANK(D6),"",IF(ISERR(SEARCH(D6&amp;"\","&lt;B&gt;\&lt;1&gt;\&lt;2&gt;\&lt;3&gt;\")),IF(AND(NOT(ISBLANK(C5)),C5&lt;=3),C5,""),
IF(SEARCH(D6&amp;"\","&lt;B&gt;\&lt;1&gt;\&lt;2&gt;\&lt;3&gt;\")=1,0,IF(SEARCH(D6&amp;"\","&lt;B&gt;\&lt;1&gt;\&lt;2&gt;\&lt;3&gt;\")=5,1,IF(SEARCH(D6&amp;"\","&lt;B&gt;\&lt;1&gt;\&lt;2&gt;\&lt;3&gt;\")=9,2,IF(SEARCH(D6&amp;"\","&lt;B&gt;\&lt;1&gt;\&lt;2&gt;\&lt;3&gt;\")=13,3,""))))))</f>
        <v/>
      </c>
      <c r="D6" s="225"/>
      <c r="E6" s="401"/>
      <c r="F6" s="123"/>
      <c r="G6" s="227"/>
      <c r="H6" s="227"/>
      <c r="I6" s="123"/>
      <c r="J6" s="227"/>
      <c r="K6" s="228"/>
      <c r="L6" s="246"/>
      <c r="M6" s="120"/>
      <c r="N6" s="120"/>
      <c r="O6" s="120"/>
      <c r="P6" s="120"/>
      <c r="Q6" s="120"/>
      <c r="R6" s="120"/>
      <c r="S6" s="281"/>
      <c r="T6" s="281"/>
      <c r="U6" s="613"/>
      <c r="V6" s="544"/>
      <c r="W6" s="121"/>
      <c r="X6" s="522"/>
      <c r="Y6" s="522"/>
      <c r="Z6" s="522"/>
      <c r="AA6" s="522"/>
      <c r="AB6" s="522"/>
    </row>
    <row r="7" spans="1:28" ht="26.1" customHeight="1" x14ac:dyDescent="0.25">
      <c r="A7" s="210" t="s">
        <v>158</v>
      </c>
      <c r="B7" s="7" t="str">
        <f>IF(  AND(ISNUMBER(C7),OR(ISNUMBER(D7),D7="PG")),IF(IF(Capa!$B$6="B",0,Capa!$B$6)&gt;=C7,1,0),"")</f>
        <v/>
      </c>
      <c r="C7" s="39" t="str">
        <f>IF(ISBLANK(D7),"",IF(ISERR(SEARCH(D7&amp;"\","&lt;B&gt;\&lt;1&gt;\&lt;2&gt;\&lt;3&gt;\")),IF(AND(NOT(ISBLANK(C6)),C6&lt;=3),C6,""),
IF(SEARCH(D7&amp;"\","&lt;B&gt;\&lt;1&gt;\&lt;2&gt;\&lt;3&gt;\")=1,0,IF(SEARCH(D7&amp;"\","&lt;B&gt;\&lt;1&gt;\&lt;2&gt;\&lt;3&gt;\")=5,1,IF(SEARCH(D7&amp;"\","&lt;B&gt;\&lt;1&gt;\&lt;2&gt;\&lt;3&gt;\")=9,2,IF(SEARCH(D7&amp;"\","&lt;B&gt;\&lt;1&gt;\&lt;2&gt;\&lt;3&gt;\")=13,3,""))))))</f>
        <v/>
      </c>
      <c r="D7" s="15"/>
      <c r="E7" s="395" t="s">
        <v>159</v>
      </c>
      <c r="F7" s="381">
        <f>IF(COUNTIFS($A$1:$A$240,"="&amp;A7&amp;"?",$B$1:$B$240,"&gt;0",$D$1:$D$240,"&gt;0")&gt;0,(COUNTIFS($A$1:$A$240,"="&amp;A7&amp;"?",$B$1:$B$240,"&gt;0",$D$1:$D$240,"&gt;0",F$1:F$240,"=S")+COUNTIFS($A$1:$A$240,"="&amp;A7&amp;"?",$B$1:$B$240,"&gt;0",$D$1:$D$240,"&gt;0",$F$1:$F$240,"=P")+COUNTIFS($A$1:$A$240,"="&amp;A7&amp;"?",$B$1:$B$240,"&gt;0",$D$1:$D$240,"&gt;0",F$1:F$240,"=N")+COUNTIFS($A$1:$A$240,"="&amp;A7&amp;"?",$B$1:$B$240,"&gt;0",$D$1:$D$240,"&gt;0",F$1:F$240,"=NA"))/COUNTIFS($A$1:$A$240,"="&amp;A7&amp;"?",$B$1:$B$240,"&gt;0",$D$1:$D$240,"&gt;0"),0)</f>
        <v>0</v>
      </c>
      <c r="G7" s="496"/>
      <c r="H7" s="232"/>
      <c r="I7" s="381">
        <f>IF(COUNTIFS($A$1:$A$240,"="&amp;A7&amp;"?",$B$1:$B$240,"&gt;0",$D$1:$D$240,"&gt;0")&gt;0,
        (COUNTIFS($A$1:$A$240,"="&amp;A7&amp;"?",$B$1:$B$240,"&gt;0",$D$1:$D$240,"&gt;0",F$1:F$240,"=S",I$1:I$240,"") +
         (COUNTIFS($A$1:$A$240,"="&amp;A7&amp;"?",$B$1:$B$240,"&gt;0",$D$1:$D$240,"&gt;0",$F$1:$F$240,"=P",I$1:I$240,"")/2) +
         COUNTIFS($A$1:$A$240,"="&amp;A7&amp;"?",$B$1:$B$240,"&gt;0",$D$1:$D$240,"&gt;0",I$1:I$240,"=S") +
         (COUNTIFS($A$1:$A$240,"="&amp;A7&amp;"?",$B$1:$B$240,"&gt;0",$D$1:$D$240,"&gt;0",I$1:I$240,"=P")/2)
         )/COUNTIFS($A$1:$A$240,"="&amp;A7&amp;"?",$B$1:$B$240,"&gt;0",$D$1:$D$240,"&gt;0"),0)</f>
        <v>0</v>
      </c>
      <c r="J7" s="232"/>
      <c r="K7" s="502"/>
      <c r="L7" s="232"/>
      <c r="M7" s="722">
        <f>(M8*20+N8*10+O8*10+Q8*30+R8*15+S8*15)/100</f>
        <v>0</v>
      </c>
      <c r="N7" s="723"/>
      <c r="O7" s="723"/>
      <c r="P7" s="723"/>
      <c r="Q7" s="723"/>
      <c r="R7" s="723"/>
      <c r="S7" s="723"/>
      <c r="T7" s="724"/>
      <c r="U7" s="450"/>
      <c r="V7" s="545"/>
      <c r="W7" s="66"/>
      <c r="X7" s="579"/>
      <c r="Y7" s="579"/>
      <c r="Z7" s="579"/>
      <c r="AA7" s="579"/>
      <c r="AB7" s="579"/>
    </row>
    <row r="8" spans="1:28" ht="15.6" customHeight="1" x14ac:dyDescent="0.25">
      <c r="A8" s="210" t="s">
        <v>158</v>
      </c>
      <c r="B8" s="7" t="str">
        <f>IF(  AND(ISNUMBER(C8),OR(ISNUMBER(D8),D8="PG")),IF(IF(Capa!$B$6="B",0,Capa!$B$6)&gt;=C8,1,0),"")</f>
        <v/>
      </c>
      <c r="C8" s="109" t="str">
        <f t="shared" ref="C8:C71" si="0">IF(ISBLANK(D8),"",IF(ISERR(SEARCH(D8&amp;"\","&lt;B&gt;\&lt;1&gt;\&lt;2&gt;\&lt;3&gt;\")),IF(AND(NOT(ISBLANK(C7)),C7&lt;=3),C7,""),
IF(SEARCH(D8&amp;"\","&lt;B&gt;\&lt;1&gt;\&lt;2&gt;\&lt;3&gt;\")=1,0,IF(SEARCH(D8&amp;"\","&lt;B&gt;\&lt;1&gt;\&lt;2&gt;\&lt;3&gt;\")=5,1,IF(SEARCH(D8&amp;"\","&lt;B&gt;\&lt;1&gt;\&lt;2&gt;\&lt;3&gt;\")=9,2,IF(SEARCH(D8&amp;"\","&lt;B&gt;\&lt;1&gt;\&lt;2&gt;\&lt;3&gt;\")=13,3,""))))))</f>
        <v/>
      </c>
      <c r="D8" s="110"/>
      <c r="E8" s="98">
        <f>IF(SUMIFS($B$1:$B$240,$A$1:$A$240,"="&amp;A7&amp;"?",B$1:B$240,"&gt;0")&lt;=0,0,COUNTIFS($F$1:$F$240,"*",$A$1:$A$240,"="&amp;A7&amp;"?",B$1:B$240,"&gt;0")/SUMIFS($B$1:$B$240,$A$1:$A$240,"="&amp;A7&amp;"?",B$1:B$240,"&gt;0"))</f>
        <v>0</v>
      </c>
      <c r="F8" s="108"/>
      <c r="G8" s="496"/>
      <c r="H8" s="234"/>
      <c r="I8" s="115"/>
      <c r="J8" s="235"/>
      <c r="K8" s="496"/>
      <c r="L8" s="235"/>
      <c r="M8" s="100">
        <f>(COUNTIFS($A$1:$A$240,"="&amp;$A7&amp;"?",$B$1:$B$240,"&gt;0",$D$1:$D$240,"=PG",M$1:M$240,"=1")*(IF(Capa!$B$6="B",100,IF(Capa!$B$6=1,50,IF(Capa!$B$6=2,33,25))))+COUNTIFS($A$1:$A$240,"="&amp;$A7&amp;"?",$B$1:$B$240,"&gt;0",$D$1:$D$240,"=PG",M$1:M$240,"=2")*(IF(Capa!$B$6="B",100,IF(Capa!$B$6=1,100,IF(Capa!$B$6=2,67,50))))+COUNTIFS($A$1:$A$240,"="&amp;$A7&amp;"?",$B$1:$B$240,"&gt;0",$D$1:$D$240,"=PG",M$1:M$240,"=3")*(IF(Capa!$B$6="B",100,IF(Capa!$B$6=1,100,IF(Capa!$B$6=2,100,75))))+COUNTIFS($A$1:$A$240,"="&amp;$A7&amp;"?",$B$1:$B$240,"&gt;0",$D$1:$D$240,"=PG",M$1:M$240,"=4")*100)/(COUNTIFS($A$1:$A$240,"="&amp;$A7&amp;"?",$B$1:$B$240,"&gt;0",$D$1:$D$240,"=PG")*100)</f>
        <v>0</v>
      </c>
      <c r="N8" s="100">
        <f>(COUNTIFS($A$1:$A$240,"="&amp;$A7&amp;"?",$B$1:$B$240,"&gt;0",$D$1:$D$240,"=PG",N$1:N$240,"=1")*(IF(Capa!$B$6="B",100,IF(Capa!$B$6=1,50,IF(Capa!$B$6=2,33,25))))+COUNTIFS($A$1:$A$240,"="&amp;$A7&amp;"?",$B$1:$B$240,"&gt;0",$D$1:$D$240,"=PG",N$1:N$240,"=2")*(IF(Capa!$B$6="B",100,IF(Capa!$B$6=1,100,IF(Capa!$B$6=2,67,50))))+COUNTIFS($A$1:$A$240,"="&amp;$A7&amp;"?",$B$1:$B$240,"&gt;0",$D$1:$D$240,"=PG",N$1:N$240,"=3")*(IF(Capa!$B$6="B",100,IF(Capa!$B$6=1,100,IF(Capa!$B$6=2,100,75))))+COUNTIFS($A$1:$A$240,"="&amp;$A7&amp;"?",$B$1:$B$240,"&gt;0",$D$1:$D$240,"=PG",N$1:N$240,"=4")*100)/(COUNTIFS($A$1:$A$240,"="&amp;$A7&amp;"?",$B$1:$B$240,"&gt;0",$D$1:$D$240,"=PG")*100)</f>
        <v>0</v>
      </c>
      <c r="O8" s="100">
        <f>(COUNTIFS($A$1:$A$240,"="&amp;$A7&amp;"?",$B$1:$B$240,"&gt;0",$D$1:$D$240,"=PG",O$1:O$240,"=1")*(IF(Capa!$B$6="B",100,IF(Capa!$B$6=1,50,IF(Capa!$B$6=2,33,25))))+COUNTIFS($A$1:$A$240,"="&amp;$A7&amp;"?",$B$1:$B$240,"&gt;0",$D$1:$D$240,"=PG",O$1:O$240,"=2")*(IF(Capa!$B$6="B",100,IF(Capa!$B$6=1,100,IF(Capa!$B$6=2,67,50))))+COUNTIFS($A$1:$A$240,"="&amp;$A7&amp;"?",$B$1:$B$240,"&gt;0",$D$1:$D$240,"=PG",O$1:O$240,"=3")*(IF(Capa!$B$6="B",100,IF(Capa!$B$6=1,100,IF(Capa!$B$6=2,100,75))))+COUNTIFS($A$1:$A$240,"="&amp;$A7&amp;"?",$B$1:$B$240,"&gt;0",$D$1:$D$240,"=PG",O$1:O$240,"=4")*100)/(COUNTIFS($A$1:$A$240,"="&amp;$A7&amp;"?",$B$1:$B$240,"&gt;0",$D$1:$D$240,"=PG")*100)</f>
        <v>0</v>
      </c>
      <c r="P8" s="414">
        <f>P11+P28+P44+P57</f>
        <v>0</v>
      </c>
      <c r="Q8" s="100">
        <f>(COUNTIFS($A$1:$A$240,"="&amp;$A7&amp;"?",$B$1:$B$240,"",$L$1:$L$240,"&gt;=0",Q$1:Q$240,"=1")*(IF(Capa!$B$6="B",100,IF(Capa!$B$6=1,50,IF(Capa!$B$6=2,33,25))))+COUNTIFS($A$1:$A$240,"="&amp;$A7&amp;"?",$B$1:$B$240,"",$L$1:$L$240,"&gt;=0",Q$1:Q$240,"=2")*(IF(Capa!$B$6="B",100,IF(Capa!$B$6=1,100,IF(Capa!$B$6=2,67,50))))+COUNTIFS($A$1:$A$240,"="&amp;$A7&amp;"?",$B$1:$B$240,"",$L$1:$L$240,"&gt;=0",Q$1:Q$240,"=3")*(IF(Capa!$B$6="B",100,IF(Capa!$B$6=1,100,IF(Capa!$B$6=2,100,75))))+COUNTIFS($A$1:$A$240,"="&amp;$A7&amp;"?",$B$1:$B$240,"",$L$1:$L$240,"&gt;=0",Q$1:Q$240,"=4")*100)/(COUNTIFS($A$1:$A$240,"="&amp;$A7&amp;"?",$B$1:$B$240,"",$L$1:$L$240,"&gt;=0")*100)</f>
        <v>0</v>
      </c>
      <c r="R8" s="100">
        <f>(COUNTIFS($A$1:$A$240,"="&amp;$A7&amp;"?",$B$1:$B$240,"&gt;0",$D$1:$D$240,"=PG",R$1:R$240,"=1")*(IF(Capa!$B$6="B",100,IF(Capa!$B$6=1,50,IF(Capa!$B$6=2,33,25))))+COUNTIFS($A$1:$A$240,"="&amp;$A7&amp;"?",$B$1:$B$240,"&gt;0",$D$1:$D$240,"=PG",R$1:R$240,"=2")*(IF(Capa!$B$6="B",100,IF(Capa!$B$6=1,100,IF(Capa!$B$6=2,67,50))))+COUNTIFS($A$1:$A$240,"="&amp;$A7&amp;"?",$B$1:$B$240,"&gt;0",$D$1:$D$240,"=PG",R$1:R$240,"=3")*(IF(Capa!$B$6="B",100,IF(Capa!$B$6=1,100,IF(Capa!$B$6=2,100,75))))+COUNTIFS($A$1:$A$240,"="&amp;$A7&amp;"?",$B$1:$B$240,"&gt;0",$D$1:$D$240,"=PG",R$1:R$240,"=4")*100)/(COUNTIFS($A$1:$A$240,"="&amp;$A7&amp;"?",$B$1:$B$240,"&gt;0",$D$1:$D$240,"=PG")*100)</f>
        <v>0</v>
      </c>
      <c r="S8" s="100">
        <f>(COUNTIFS($A$1:$A$240,"="&amp;$A7&amp;"?",$B$1:$B$240,"&gt;0",$D$1:$D$240,"=PG",S$1:S$240,"=1")*(IF(Capa!$B$6="B",100,IF(Capa!$B$6=1,50,IF(Capa!$B$6=2,33,25))))+COUNTIFS($A$1:$A$240,"="&amp;$A7&amp;"?",$B$1:$B$240,"&gt;0",$D$1:$D$240,"=PG",S$1:S$240,"=2")*(IF(Capa!$B$6="B",100,IF(Capa!$B$6=1,100,IF(Capa!$B$6=2,67,50))))+COUNTIFS($A$1:$A$240,"="&amp;$A7&amp;"?",$B$1:$B$240,"&gt;0",$D$1:$D$240,"=PG",S$1:S$240,"=3")*(IF(Capa!$B$6="B",100,IF(Capa!$B$6=1,100,IF(Capa!$B$6=2,100,75))))+COUNTIFS($A$1:$A$240,"="&amp;$A7&amp;"?",$B$1:$B$240,"&gt;0",$D$1:$D$240,"=PG",S$1:S$240,"=4")*100)/(COUNTIFS($A$1:$A$240,"="&amp;$A7&amp;"?",$B$1:$B$240,"&gt;0",$D$1:$D$240,"=PG")*100)</f>
        <v>0</v>
      </c>
      <c r="T8" s="414">
        <f>T11+T28+T44+T57</f>
        <v>0</v>
      </c>
      <c r="U8" s="100"/>
      <c r="V8" s="465"/>
      <c r="W8" s="478"/>
      <c r="X8" s="522"/>
      <c r="Y8" s="522"/>
      <c r="Z8" s="522"/>
      <c r="AA8" s="522"/>
      <c r="AB8" s="522"/>
    </row>
    <row r="9" spans="1:28" x14ac:dyDescent="0.25">
      <c r="A9" s="210" t="s">
        <v>160</v>
      </c>
      <c r="B9" s="7" t="str">
        <f>IF(  AND(ISNUMBER(C9),OR(ISNUMBER(D9),D9="PG")),IF(IF(Capa!$B$6="B",0,Capa!$B$6)&gt;=C9,1,0),"")</f>
        <v/>
      </c>
      <c r="C9" s="11" t="str">
        <f t="shared" si="0"/>
        <v/>
      </c>
      <c r="D9" s="15"/>
      <c r="E9" s="258" t="s">
        <v>161</v>
      </c>
      <c r="F9" s="24"/>
      <c r="G9" s="497"/>
      <c r="H9" s="236"/>
      <c r="I9" s="33"/>
      <c r="J9" s="219"/>
      <c r="K9" s="497"/>
      <c r="L9" s="383">
        <f>IF(AND($B11=1,D11="PG"),IF(COUNTIFS($A$1:$A$240,"="&amp;$A9,$B$1:$B$240,"&gt;0",$D$1:$D$240,"&gt;0")&gt;0,
        (COUNTIFS($A$1:$A$240,"="&amp;$A9,$B$1:$B$240,"&gt;0",$D$1:$D$240,"&gt;0",F$1:F$240,"=S",I$1:I$240,"") +
         (COUNTIFS($A$1:$A$240,"="&amp;$A9,$B$1:$B$240,"&gt;0",$D$1:$D$240,"&gt;0",$F$1:$F$240,"=P",I$1:I$240,"")/2) +
         COUNTIFS($A$1:$A$240,"="&amp;$A9,$B$1:$B$240,"&gt;0",$D$1:$D$240,"&gt;0",I$1:I$240,"=S") +
         (COUNTIFS($A$1:$A$240,"="&amp;$A9,$B$1:$B$240,"&gt;0",$D$1:$D$240,"&gt;0",I$1:I$240,"=P")/2)
         )/COUNTIFS($A$1:$A$240,"="&amp;$A9,$B$1:$B$240,"&gt;0",$D$1:$D$240,"&gt;0"),1),"")</f>
        <v>0</v>
      </c>
      <c r="M9" s="380"/>
      <c r="N9" s="70"/>
      <c r="O9" s="68"/>
      <c r="P9" s="68"/>
      <c r="Q9" s="83">
        <f>IF(L9="","",MIN(IF(ISBLANK(Q11),0,Q11),IF(L9&gt;0.9,4,IF(L9&gt;0.5,3,IF(L9&gt;0.3,2,IF(OR(L9&gt;0,Q11&gt;0),1,0))))))</f>
        <v>0</v>
      </c>
      <c r="R9" s="68"/>
      <c r="S9" s="68"/>
      <c r="T9" s="68"/>
      <c r="U9" s="68"/>
      <c r="V9" s="545"/>
      <c r="W9" s="66"/>
      <c r="X9" s="579"/>
      <c r="Y9" s="579"/>
      <c r="Z9" s="579"/>
      <c r="AA9" s="579"/>
      <c r="AB9" s="579"/>
    </row>
    <row r="10" spans="1:28" ht="5.45" customHeight="1" x14ac:dyDescent="0.25">
      <c r="A10" s="210" t="s">
        <v>160</v>
      </c>
      <c r="B10" s="7" t="str">
        <f>IF(  AND(ISNUMBER(C10),OR(ISNUMBER(D10),D10="PG")),IF(IF(Capa!$B$6="B",0,Capa!$B$6)&gt;=C10,1,0),"")</f>
        <v/>
      </c>
      <c r="C10" s="17">
        <f t="shared" si="0"/>
        <v>0</v>
      </c>
      <c r="D10" s="18" t="s">
        <v>53</v>
      </c>
      <c r="E10" s="256"/>
      <c r="F10" s="27"/>
      <c r="G10" s="498"/>
      <c r="H10" s="239"/>
      <c r="I10" s="26"/>
      <c r="J10" s="239"/>
      <c r="K10" s="503"/>
      <c r="L10" s="242"/>
      <c r="M10" s="120"/>
      <c r="N10" s="120"/>
      <c r="O10" s="120"/>
      <c r="P10" s="120"/>
      <c r="Q10" s="120"/>
      <c r="R10" s="120"/>
      <c r="S10" s="281"/>
      <c r="T10" s="281"/>
      <c r="U10" s="355"/>
      <c r="V10" s="465"/>
      <c r="W10" s="478"/>
      <c r="X10" s="522"/>
      <c r="Y10" s="522"/>
      <c r="Z10" s="522"/>
      <c r="AA10" s="522"/>
      <c r="AB10" s="522"/>
    </row>
    <row r="11" spans="1:28" ht="89.25" x14ac:dyDescent="0.25">
      <c r="A11" s="646" t="s">
        <v>160</v>
      </c>
      <c r="B11" s="7">
        <f>IF(  AND(ISNUMBER(C11),OR(ISNUMBER(D11),D11="PG")),IF(IF(Capa!$B$6="B",0,Capa!$B$6)&gt;=C11,1,0),"")</f>
        <v>1</v>
      </c>
      <c r="C11" s="17">
        <f t="shared" si="0"/>
        <v>0</v>
      </c>
      <c r="D11" s="647" t="s">
        <v>54</v>
      </c>
      <c r="E11" s="389" t="s">
        <v>162</v>
      </c>
      <c r="F11" s="513"/>
      <c r="G11" s="468"/>
      <c r="H11" s="241"/>
      <c r="I11" s="29"/>
      <c r="J11" s="239"/>
      <c r="K11" s="471"/>
      <c r="L11" s="697"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76"/>
      <c r="X11" s="666"/>
      <c r="Y11" s="522"/>
      <c r="Z11" s="522"/>
      <c r="AA11" s="522"/>
      <c r="AB11" s="522"/>
    </row>
    <row r="12" spans="1:28" ht="30" x14ac:dyDescent="0.25">
      <c r="A12" s="646" t="s">
        <v>160</v>
      </c>
      <c r="B12" s="7">
        <f>IF(  AND(ISNUMBER(C12),OR(ISNUMBER(D12),D12="PG")),IF(IF(Capa!$B$6="B",0,Capa!$B$6)&gt;=C12,1,0),"")</f>
        <v>1</v>
      </c>
      <c r="C12" s="17">
        <f t="shared" si="0"/>
        <v>0</v>
      </c>
      <c r="D12" s="647">
        <v>78</v>
      </c>
      <c r="E12" s="352" t="s">
        <v>163</v>
      </c>
      <c r="F12" s="513"/>
      <c r="G12" s="468"/>
      <c r="H12" s="241"/>
      <c r="I12" s="29"/>
      <c r="J12" s="425">
        <f>LEN(K12)</f>
        <v>0</v>
      </c>
      <c r="K12" s="471"/>
      <c r="L12" s="697" t="str">
        <f>IF(OR(I12="N",I12="P"),1,"")</f>
        <v/>
      </c>
      <c r="M12" s="719"/>
      <c r="N12" s="720"/>
      <c r="O12" s="720"/>
      <c r="P12" s="720"/>
      <c r="Q12" s="720"/>
      <c r="R12" s="720"/>
      <c r="S12" s="720"/>
      <c r="T12" s="721"/>
      <c r="U12" s="71"/>
      <c r="V12" s="464"/>
      <c r="W12" s="476"/>
      <c r="X12" s="522"/>
      <c r="Y12" s="522"/>
      <c r="Z12" s="522"/>
      <c r="AA12" s="522"/>
      <c r="AB12" s="522"/>
    </row>
    <row r="13" spans="1:28" ht="30" x14ac:dyDescent="0.25">
      <c r="A13" s="646" t="s">
        <v>160</v>
      </c>
      <c r="B13" s="7">
        <f>IF(  AND(ISNUMBER(C13),OR(ISNUMBER(D13),D13="PG")),IF(IF(Capa!$B$6="B",0,Capa!$B$6)&gt;=C13,1,0),"")</f>
        <v>1</v>
      </c>
      <c r="C13" s="17">
        <f t="shared" si="0"/>
        <v>0</v>
      </c>
      <c r="D13" s="647">
        <v>79</v>
      </c>
      <c r="E13" s="398" t="s">
        <v>164</v>
      </c>
      <c r="F13" s="513"/>
      <c r="G13" s="468"/>
      <c r="H13" s="241"/>
      <c r="I13" s="29"/>
      <c r="J13" s="425">
        <f t="shared" ref="J13:J24" si="1">LEN(K13)</f>
        <v>0</v>
      </c>
      <c r="K13" s="471"/>
      <c r="L13" s="697" t="str">
        <f t="shared" ref="L13:L24" si="2">IF(OR(I13="N",I13="P"),1,"")</f>
        <v/>
      </c>
      <c r="M13" s="719"/>
      <c r="N13" s="720"/>
      <c r="O13" s="720"/>
      <c r="P13" s="720"/>
      <c r="Q13" s="720"/>
      <c r="R13" s="720"/>
      <c r="S13" s="720"/>
      <c r="T13" s="721"/>
      <c r="U13" s="71"/>
      <c r="V13" s="464"/>
      <c r="W13" s="476"/>
      <c r="X13" s="522"/>
      <c r="Y13" s="522"/>
      <c r="Z13" s="522"/>
      <c r="AA13" s="522"/>
      <c r="AB13" s="522"/>
    </row>
    <row r="14" spans="1:28" ht="105" x14ac:dyDescent="0.25">
      <c r="A14" s="646" t="s">
        <v>160</v>
      </c>
      <c r="B14" s="7">
        <f>IF(  AND(ISNUMBER(C14),OR(ISNUMBER(D14),D14="PG")),IF(IF(Capa!$B$6="B",0,Capa!$B$6)&gt;=C14,1,0),"")</f>
        <v>1</v>
      </c>
      <c r="C14" s="17">
        <f t="shared" si="0"/>
        <v>0</v>
      </c>
      <c r="D14" s="647">
        <v>80</v>
      </c>
      <c r="E14" s="352" t="s">
        <v>165</v>
      </c>
      <c r="F14" s="513"/>
      <c r="G14" s="468"/>
      <c r="H14" s="241"/>
      <c r="I14" s="29"/>
      <c r="J14" s="425">
        <f t="shared" si="1"/>
        <v>0</v>
      </c>
      <c r="K14" s="471"/>
      <c r="L14" s="697" t="str">
        <f t="shared" si="2"/>
        <v/>
      </c>
      <c r="M14" s="719"/>
      <c r="N14" s="720"/>
      <c r="O14" s="720"/>
      <c r="P14" s="720"/>
      <c r="Q14" s="720"/>
      <c r="R14" s="720"/>
      <c r="S14" s="720"/>
      <c r="T14" s="721"/>
      <c r="U14" s="71"/>
      <c r="V14" s="464"/>
      <c r="W14" s="476"/>
      <c r="X14" s="522"/>
      <c r="Y14" s="522"/>
      <c r="Z14" s="522"/>
      <c r="AA14" s="522"/>
      <c r="AB14" s="522"/>
    </row>
    <row r="15" spans="1:28" ht="45" x14ac:dyDescent="0.25">
      <c r="A15" s="646" t="s">
        <v>160</v>
      </c>
      <c r="B15" s="7">
        <f>IF(  AND(ISNUMBER(C15),OR(ISNUMBER(D15),D15="PG")),IF(IF(Capa!$B$6="B",0,Capa!$B$6)&gt;=C15,1,0),"")</f>
        <v>1</v>
      </c>
      <c r="C15" s="17">
        <f t="shared" si="0"/>
        <v>0</v>
      </c>
      <c r="D15" s="647">
        <v>81</v>
      </c>
      <c r="E15" s="352" t="s">
        <v>166</v>
      </c>
      <c r="F15" s="513"/>
      <c r="G15" s="468"/>
      <c r="H15" s="241"/>
      <c r="I15" s="29"/>
      <c r="J15" s="425">
        <f t="shared" si="1"/>
        <v>0</v>
      </c>
      <c r="K15" s="471"/>
      <c r="L15" s="697" t="str">
        <f t="shared" si="2"/>
        <v/>
      </c>
      <c r="M15" s="719"/>
      <c r="N15" s="720"/>
      <c r="O15" s="720"/>
      <c r="P15" s="720"/>
      <c r="Q15" s="720"/>
      <c r="R15" s="720"/>
      <c r="S15" s="720"/>
      <c r="T15" s="721"/>
      <c r="U15" s="71"/>
      <c r="V15" s="464"/>
      <c r="W15" s="476"/>
      <c r="X15" s="522"/>
      <c r="Y15" s="522"/>
      <c r="Z15" s="522"/>
      <c r="AA15" s="522"/>
      <c r="AB15" s="522"/>
    </row>
    <row r="16" spans="1:28" ht="7.7" customHeight="1" x14ac:dyDescent="0.25">
      <c r="A16" s="646" t="s">
        <v>160</v>
      </c>
      <c r="B16" s="7" t="str">
        <f>IF(  AND(ISNUMBER(C16),OR(ISNUMBER(D16),D16="PG")),IF(IF(Capa!$B$6="B",0,Capa!$B$6)&gt;=C16,1,0),"")</f>
        <v/>
      </c>
      <c r="C16" s="17">
        <f t="shared" si="0"/>
        <v>2</v>
      </c>
      <c r="D16" s="647" t="s">
        <v>64</v>
      </c>
      <c r="E16" s="352"/>
      <c r="F16" s="513"/>
      <c r="G16" s="468"/>
      <c r="H16" s="241"/>
      <c r="I16" s="29"/>
      <c r="J16" s="425">
        <f t="shared" si="1"/>
        <v>0</v>
      </c>
      <c r="K16" s="471"/>
      <c r="L16" s="697" t="str">
        <f t="shared" si="2"/>
        <v/>
      </c>
      <c r="M16" s="719"/>
      <c r="N16" s="720"/>
      <c r="O16" s="720"/>
      <c r="P16" s="720"/>
      <c r="Q16" s="720"/>
      <c r="R16" s="720"/>
      <c r="S16" s="720"/>
      <c r="T16" s="721"/>
      <c r="U16" s="71"/>
      <c r="V16" s="464"/>
      <c r="W16" s="476"/>
      <c r="X16" s="522"/>
      <c r="Y16" s="522"/>
      <c r="Z16" s="522"/>
      <c r="AA16" s="522"/>
      <c r="AB16" s="522"/>
    </row>
    <row r="17" spans="1:28" ht="64.150000000000006" customHeight="1" x14ac:dyDescent="0.25">
      <c r="A17" s="646" t="s">
        <v>160</v>
      </c>
      <c r="B17" s="7">
        <f>IF(  AND(ISNUMBER(C17),OR(ISNUMBER(D17),D17="PG")),IF(IF(Capa!$B$6="B",0,Capa!$B$6)&gt;=C17,1,0),"")</f>
        <v>0</v>
      </c>
      <c r="C17" s="17">
        <f t="shared" si="0"/>
        <v>2</v>
      </c>
      <c r="D17" s="647">
        <v>82</v>
      </c>
      <c r="E17" s="352" t="s">
        <v>167</v>
      </c>
      <c r="F17" s="513"/>
      <c r="G17" s="468"/>
      <c r="H17" s="241"/>
      <c r="I17" s="29"/>
      <c r="J17" s="425">
        <f t="shared" si="1"/>
        <v>0</v>
      </c>
      <c r="K17" s="471"/>
      <c r="L17" s="697" t="str">
        <f t="shared" si="2"/>
        <v/>
      </c>
      <c r="M17" s="719"/>
      <c r="N17" s="720"/>
      <c r="O17" s="720"/>
      <c r="P17" s="720"/>
      <c r="Q17" s="720"/>
      <c r="R17" s="720"/>
      <c r="S17" s="720"/>
      <c r="T17" s="721"/>
      <c r="U17" s="71"/>
      <c r="V17" s="464"/>
      <c r="W17" s="476"/>
      <c r="X17" s="522"/>
      <c r="Y17" s="522"/>
      <c r="Z17" s="522"/>
      <c r="AA17" s="522"/>
      <c r="AB17" s="522"/>
    </row>
    <row r="18" spans="1:28" ht="30" x14ac:dyDescent="0.25">
      <c r="A18" s="646" t="s">
        <v>160</v>
      </c>
      <c r="B18" s="7">
        <f>IF(  AND(ISNUMBER(C18),OR(ISNUMBER(D18),D18="PG")),IF(IF(Capa!$B$6="B",0,Capa!$B$6)&gt;=C18,1,0),"")</f>
        <v>0</v>
      </c>
      <c r="C18" s="17">
        <f t="shared" si="0"/>
        <v>2</v>
      </c>
      <c r="D18" s="647">
        <v>83</v>
      </c>
      <c r="E18" s="352" t="s">
        <v>168</v>
      </c>
      <c r="F18" s="513"/>
      <c r="G18" s="468"/>
      <c r="H18" s="241"/>
      <c r="I18" s="29"/>
      <c r="J18" s="425">
        <f t="shared" si="1"/>
        <v>0</v>
      </c>
      <c r="K18" s="471"/>
      <c r="L18" s="697" t="str">
        <f t="shared" si="2"/>
        <v/>
      </c>
      <c r="M18" s="719"/>
      <c r="N18" s="720"/>
      <c r="O18" s="720"/>
      <c r="P18" s="720"/>
      <c r="Q18" s="720"/>
      <c r="R18" s="720"/>
      <c r="S18" s="720"/>
      <c r="T18" s="721"/>
      <c r="U18" s="71"/>
      <c r="V18" s="464"/>
      <c r="W18" s="476"/>
      <c r="X18" s="522"/>
      <c r="Y18" s="522"/>
      <c r="Z18" s="522"/>
      <c r="AA18" s="522"/>
      <c r="AB18" s="522"/>
    </row>
    <row r="19" spans="1:28" ht="60" x14ac:dyDescent="0.25">
      <c r="A19" s="646" t="s">
        <v>160</v>
      </c>
      <c r="B19" s="7">
        <f>IF(  AND(ISNUMBER(C19),OR(ISNUMBER(D19),D19="PG")),IF(IF(Capa!$B$6="B",0,Capa!$B$6)&gt;=C19,1,0),"")</f>
        <v>0</v>
      </c>
      <c r="C19" s="17">
        <f t="shared" si="0"/>
        <v>2</v>
      </c>
      <c r="D19" s="647">
        <v>84</v>
      </c>
      <c r="E19" s="352" t="s">
        <v>169</v>
      </c>
      <c r="F19" s="513"/>
      <c r="G19" s="468"/>
      <c r="H19" s="241"/>
      <c r="I19" s="29"/>
      <c r="J19" s="425">
        <f t="shared" si="1"/>
        <v>0</v>
      </c>
      <c r="K19" s="471"/>
      <c r="L19" s="697" t="str">
        <f t="shared" si="2"/>
        <v/>
      </c>
      <c r="M19" s="719"/>
      <c r="N19" s="720"/>
      <c r="O19" s="720"/>
      <c r="P19" s="720"/>
      <c r="Q19" s="720"/>
      <c r="R19" s="720"/>
      <c r="S19" s="720"/>
      <c r="T19" s="721"/>
      <c r="U19" s="71"/>
      <c r="V19" s="464"/>
      <c r="W19" s="476"/>
      <c r="X19" s="522"/>
      <c r="Y19" s="522"/>
      <c r="Z19" s="522"/>
      <c r="AA19" s="522"/>
      <c r="AB19" s="522"/>
    </row>
    <row r="20" spans="1:28" ht="6.6" customHeight="1" x14ac:dyDescent="0.25">
      <c r="A20" s="646" t="s">
        <v>160</v>
      </c>
      <c r="B20" s="7" t="str">
        <f>IF(  AND(ISNUMBER(C20),OR(ISNUMBER(D20),D20="PG")),IF(IF(Capa!$B$6="B",0,Capa!$B$6)&gt;=C20,1,0),"")</f>
        <v/>
      </c>
      <c r="C20" s="17">
        <f t="shared" si="0"/>
        <v>3</v>
      </c>
      <c r="D20" s="647" t="s">
        <v>70</v>
      </c>
      <c r="E20" s="352"/>
      <c r="F20" s="513"/>
      <c r="G20" s="468"/>
      <c r="H20" s="241"/>
      <c r="I20" s="29"/>
      <c r="J20" s="425">
        <f t="shared" si="1"/>
        <v>0</v>
      </c>
      <c r="K20" s="471"/>
      <c r="L20" s="697" t="str">
        <f t="shared" si="2"/>
        <v/>
      </c>
      <c r="M20" s="719"/>
      <c r="N20" s="720"/>
      <c r="O20" s="720"/>
      <c r="P20" s="720"/>
      <c r="Q20" s="720"/>
      <c r="R20" s="720"/>
      <c r="S20" s="720"/>
      <c r="T20" s="721"/>
      <c r="U20" s="71"/>
      <c r="V20" s="464"/>
      <c r="W20" s="476"/>
      <c r="X20" s="522"/>
      <c r="Y20" s="522"/>
      <c r="Z20" s="522"/>
      <c r="AA20" s="522"/>
      <c r="AB20" s="522"/>
    </row>
    <row r="21" spans="1:28" ht="60" x14ac:dyDescent="0.25">
      <c r="A21" s="646" t="s">
        <v>160</v>
      </c>
      <c r="B21" s="7">
        <f>IF(  AND(ISNUMBER(C21),OR(ISNUMBER(D21),D21="PG")),IF(IF(Capa!$B$6="B",0,Capa!$B$6)&gt;=C21,1,0),"")</f>
        <v>0</v>
      </c>
      <c r="C21" s="17">
        <f t="shared" si="0"/>
        <v>3</v>
      </c>
      <c r="D21" s="647">
        <v>85</v>
      </c>
      <c r="E21" s="352" t="s">
        <v>170</v>
      </c>
      <c r="F21" s="513"/>
      <c r="G21" s="468"/>
      <c r="H21" s="241"/>
      <c r="I21" s="29"/>
      <c r="J21" s="425">
        <f t="shared" si="1"/>
        <v>0</v>
      </c>
      <c r="K21" s="471"/>
      <c r="L21" s="697" t="str">
        <f t="shared" si="2"/>
        <v/>
      </c>
      <c r="M21" s="719"/>
      <c r="N21" s="720"/>
      <c r="O21" s="720"/>
      <c r="P21" s="720"/>
      <c r="Q21" s="720"/>
      <c r="R21" s="720"/>
      <c r="S21" s="720"/>
      <c r="T21" s="721"/>
      <c r="U21" s="71"/>
      <c r="V21" s="464"/>
      <c r="W21" s="476"/>
      <c r="X21" s="522"/>
      <c r="Y21" s="522"/>
      <c r="Z21" s="522"/>
      <c r="AA21" s="522"/>
      <c r="AB21" s="522"/>
    </row>
    <row r="22" spans="1:28" ht="45" x14ac:dyDescent="0.25">
      <c r="A22" s="646" t="s">
        <v>160</v>
      </c>
      <c r="B22" s="7">
        <f>IF(  AND(ISNUMBER(C22),OR(ISNUMBER(D22),D22="PG")),IF(IF(Capa!$B$6="B",0,Capa!$B$6)&gt;=C22,1,0),"")</f>
        <v>0</v>
      </c>
      <c r="C22" s="17">
        <f t="shared" si="0"/>
        <v>3</v>
      </c>
      <c r="D22" s="647">
        <v>86</v>
      </c>
      <c r="E22" s="398" t="s">
        <v>171</v>
      </c>
      <c r="F22" s="513"/>
      <c r="G22" s="468"/>
      <c r="H22" s="241"/>
      <c r="I22" s="29"/>
      <c r="J22" s="425">
        <f t="shared" si="1"/>
        <v>0</v>
      </c>
      <c r="K22" s="471"/>
      <c r="L22" s="697" t="str">
        <f t="shared" si="2"/>
        <v/>
      </c>
      <c r="M22" s="719"/>
      <c r="N22" s="720"/>
      <c r="O22" s="720"/>
      <c r="P22" s="720"/>
      <c r="Q22" s="720"/>
      <c r="R22" s="720"/>
      <c r="S22" s="720"/>
      <c r="T22" s="721"/>
      <c r="U22" s="71"/>
      <c r="V22" s="464"/>
      <c r="W22" s="476"/>
      <c r="X22" s="522"/>
      <c r="Y22" s="522"/>
      <c r="Z22" s="522"/>
      <c r="AA22" s="522"/>
      <c r="AB22" s="522"/>
    </row>
    <row r="23" spans="1:28" ht="45" x14ac:dyDescent="0.25">
      <c r="A23" s="646" t="s">
        <v>160</v>
      </c>
      <c r="B23" s="7">
        <f>IF(  AND(ISNUMBER(C23),OR(ISNUMBER(D23),D23="PG")),IF(IF(Capa!$B$6="B",0,Capa!$B$6)&gt;=C23,1,0),"")</f>
        <v>0</v>
      </c>
      <c r="C23" s="17">
        <f t="shared" si="0"/>
        <v>3</v>
      </c>
      <c r="D23" s="647">
        <v>87</v>
      </c>
      <c r="E23" s="352" t="s">
        <v>172</v>
      </c>
      <c r="F23" s="513"/>
      <c r="G23" s="468"/>
      <c r="H23" s="241"/>
      <c r="I23" s="29"/>
      <c r="J23" s="425">
        <f t="shared" si="1"/>
        <v>0</v>
      </c>
      <c r="K23" s="471"/>
      <c r="L23" s="697" t="str">
        <f t="shared" si="2"/>
        <v/>
      </c>
      <c r="M23" s="719"/>
      <c r="N23" s="720"/>
      <c r="O23" s="720"/>
      <c r="P23" s="720"/>
      <c r="Q23" s="720"/>
      <c r="R23" s="720"/>
      <c r="S23" s="720"/>
      <c r="T23" s="721"/>
      <c r="U23" s="71"/>
      <c r="V23" s="464"/>
      <c r="W23" s="476"/>
      <c r="X23" s="522"/>
      <c r="Y23" s="522"/>
      <c r="Z23" s="522"/>
      <c r="AA23" s="522"/>
      <c r="AB23" s="522"/>
    </row>
    <row r="24" spans="1:28" ht="60" x14ac:dyDescent="0.25">
      <c r="A24" s="646" t="s">
        <v>160</v>
      </c>
      <c r="B24" s="7">
        <f>IF(  AND(ISNUMBER(C24),OR(ISNUMBER(D24),D24="PG")),IF(IF(Capa!$B$6="B",0,Capa!$B$6)&gt;=C24,1,0),"")</f>
        <v>0</v>
      </c>
      <c r="C24" s="17">
        <f t="shared" si="0"/>
        <v>3</v>
      </c>
      <c r="D24" s="647">
        <v>88</v>
      </c>
      <c r="E24" s="411" t="s">
        <v>173</v>
      </c>
      <c r="F24" s="513"/>
      <c r="G24" s="468"/>
      <c r="H24" s="241"/>
      <c r="I24" s="29"/>
      <c r="J24" s="425">
        <f t="shared" si="1"/>
        <v>0</v>
      </c>
      <c r="K24" s="471"/>
      <c r="L24" s="697" t="str">
        <f t="shared" si="2"/>
        <v/>
      </c>
      <c r="M24" s="719"/>
      <c r="N24" s="720"/>
      <c r="O24" s="720"/>
      <c r="P24" s="720"/>
      <c r="Q24" s="720"/>
      <c r="R24" s="720"/>
      <c r="S24" s="720"/>
      <c r="T24" s="721"/>
      <c r="U24" s="71"/>
      <c r="V24" s="464"/>
      <c r="W24" s="476"/>
      <c r="X24" s="522"/>
      <c r="Y24" s="522"/>
      <c r="Z24" s="522"/>
      <c r="AA24" s="522"/>
      <c r="AB24" s="522"/>
    </row>
    <row r="25" spans="1:28" ht="9.6" customHeight="1" x14ac:dyDescent="0.25">
      <c r="B25" s="7" t="str">
        <f>IF(  AND(ISNUMBER(C25),OR(ISNUMBER(D25),D25="PG")),IF(IF(Capa!$B$6="B",0,Capa!$B$6)&gt;=C25,1,0),"")</f>
        <v/>
      </c>
      <c r="C25" s="17" t="str">
        <f t="shared" si="0"/>
        <v/>
      </c>
      <c r="D25" s="225"/>
      <c r="E25" s="401"/>
      <c r="F25" s="123"/>
      <c r="G25" s="227"/>
      <c r="H25" s="227"/>
      <c r="I25" s="123"/>
      <c r="J25" s="227"/>
      <c r="K25" s="692"/>
      <c r="L25" s="227"/>
      <c r="M25" s="119"/>
      <c r="N25" s="119"/>
      <c r="O25" s="119"/>
      <c r="P25" s="119"/>
      <c r="Q25" s="119"/>
      <c r="R25" s="119"/>
      <c r="S25" s="229"/>
      <c r="T25" s="229"/>
      <c r="U25" s="454"/>
      <c r="V25" s="544"/>
      <c r="W25" s="121"/>
      <c r="X25" s="522"/>
      <c r="Y25" s="522"/>
      <c r="Z25" s="522"/>
      <c r="AA25" s="522"/>
      <c r="AB25" s="522"/>
    </row>
    <row r="26" spans="1:28" x14ac:dyDescent="0.25">
      <c r="A26" s="210" t="s">
        <v>174</v>
      </c>
      <c r="B26" s="7" t="str">
        <f>IF(  AND(ISNUMBER(C26),OR(ISNUMBER(D26),D26="PG")),IF(IF(Capa!$B$6="B",0,Capa!$B$6)&gt;=C26,1,0),"")</f>
        <v/>
      </c>
      <c r="C26" s="17" t="str">
        <f t="shared" si="0"/>
        <v/>
      </c>
      <c r="D26" s="15"/>
      <c r="E26" s="686" t="s">
        <v>175</v>
      </c>
      <c r="F26" s="517"/>
      <c r="G26" s="550"/>
      <c r="H26" s="219"/>
      <c r="I26" s="23"/>
      <c r="J26" s="219"/>
      <c r="K26" s="528"/>
      <c r="L26" s="383">
        <f>IF(AND($B28=1,D28="PG"),IF(COUNTIFS($A$1:$A$240,"="&amp;$A26,$B$1:$B$240,"&gt;0",$D$1:$D$240,"&gt;0")&gt;0,
        (COUNTIFS($A$1:$A$240,"="&amp;$A26,$B$1:$B$240,"&gt;0",$D$1:$D$240,"&gt;0",F$1:F$240,"=S",I$1:I$240,"") +
         (COUNTIFS($A$1:$A$240,"="&amp;$A26,$B$1:$B$240,"&gt;0",$D$1:$D$240,"&gt;0",$F$1:$F$240,"=P",I$1:I$240,"")/2) +
         COUNTIFS($A$1:$A$240,"="&amp;$A26,$B$1:$B$240,"&gt;0",$D$1:$D$240,"&gt;0",I$1:I$240,"=S") +
         (COUNTIFS($A$1:$A$240,"="&amp;$A26,$B$1:$B$240,"&gt;0",$D$1:$D$240,"&gt;0",I$1:I$240,"=P")/2)
         )/COUNTIFS($A$1:$A$240,"="&amp;$A26,$B$1:$B$240,"&gt;0",$D$1:$D$240,"&gt;0"),1),"")</f>
        <v>0</v>
      </c>
      <c r="M26" s="380"/>
      <c r="N26" s="70"/>
      <c r="O26" s="68"/>
      <c r="P26" s="68"/>
      <c r="Q26" s="83">
        <f>IF(L26="","",MIN(IF(ISBLANK(Q28),0,Q28),IF(L26&gt;=0.9,4,IF(L26&gt;=0.7,3,IF(L26&gt;=0.5,2,IF(OR(L26&gt;0,Q28&gt;0),1,0))))))</f>
        <v>0</v>
      </c>
      <c r="R26" s="68"/>
      <c r="S26" s="68"/>
      <c r="T26" s="68"/>
      <c r="U26" s="68"/>
      <c r="V26" s="545"/>
      <c r="W26" s="66"/>
      <c r="X26" s="579"/>
      <c r="Y26" s="579"/>
      <c r="Z26" s="579"/>
      <c r="AA26" s="579"/>
      <c r="AB26" s="579"/>
    </row>
    <row r="27" spans="1:28" ht="4.7" customHeight="1" x14ac:dyDescent="0.25">
      <c r="A27" s="210" t="s">
        <v>174</v>
      </c>
      <c r="B27" s="7" t="str">
        <f>IF(  AND(ISNUMBER(C27),OR(ISNUMBER(D27),D27="PG")),IF(IF(Capa!$B$6="B",0,Capa!$B$6)&gt;=C27,1,0),"")</f>
        <v/>
      </c>
      <c r="C27" s="17">
        <f t="shared" si="0"/>
        <v>0</v>
      </c>
      <c r="D27" s="5" t="s">
        <v>53</v>
      </c>
      <c r="E27" s="394"/>
      <c r="F27" s="516"/>
      <c r="G27" s="551"/>
      <c r="H27" s="239"/>
      <c r="I27" s="26"/>
      <c r="J27" s="239"/>
      <c r="K27" s="529"/>
      <c r="L27" s="242"/>
      <c r="M27" s="120"/>
      <c r="N27" s="120"/>
      <c r="O27" s="120"/>
      <c r="P27" s="120"/>
      <c r="Q27" s="120"/>
      <c r="R27" s="120"/>
      <c r="S27" s="281"/>
      <c r="T27" s="281"/>
      <c r="U27" s="355"/>
      <c r="V27" s="465"/>
      <c r="W27" s="478"/>
      <c r="X27" s="522"/>
      <c r="Y27" s="522"/>
      <c r="Z27" s="522"/>
      <c r="AA27" s="522"/>
      <c r="AB27" s="522"/>
    </row>
    <row r="28" spans="1:28" ht="63.75" x14ac:dyDescent="0.25">
      <c r="A28" s="646" t="s">
        <v>174</v>
      </c>
      <c r="B28" s="7">
        <f>IF(  AND(ISNUMBER(C28),OR(ISNUMBER(D28),D28="PG")),IF(IF(Capa!$B$6="B",0,Capa!$B$6)&gt;=C28,1,0),"")</f>
        <v>1</v>
      </c>
      <c r="C28" s="17">
        <f t="shared" si="0"/>
        <v>0</v>
      </c>
      <c r="D28" s="647" t="s">
        <v>54</v>
      </c>
      <c r="E28" s="389" t="s">
        <v>176</v>
      </c>
      <c r="F28" s="513"/>
      <c r="G28" s="468"/>
      <c r="H28" s="241"/>
      <c r="I28" s="29"/>
      <c r="J28" s="239"/>
      <c r="K28" s="471"/>
      <c r="L28" s="697" t="str">
        <f>IF(OR(AND(NOT(ISBLANK(M28)),M28&lt;IF(Capa!$B$6&lt;&gt;"B",Capa!$B$6+1,1)),AND(NOT(ISBLANK(N28)),N28&lt;IF(Capa!$B$6&lt;&gt;"B",Capa!$B$6+1,1)),AND(NOT(ISBLANK(O28)),O28&lt;IF(Capa!$B$6&lt;&gt;"B",Capa!$B$6+1,1)),AND(NOT(ISBLANK(Q28)),Q28&lt;IF(Capa!$B$6&lt;&gt;"B",Capa!$B$6+1,1)),AND(NOT(ISBLANK(R28)),R28&lt;IF(Capa!$B$6&lt;&gt;"B",Capa!$B$6+1,1)),AND(NOT(ISBLANK(S28)),S28&lt;IF(Capa!$B$6&lt;&gt;"B",Capa!$B$6+1,1))),1,"")</f>
        <v/>
      </c>
      <c r="M28" s="81"/>
      <c r="N28" s="81"/>
      <c r="O28" s="81"/>
      <c r="P28" s="81"/>
      <c r="Q28" s="81"/>
      <c r="R28" s="81"/>
      <c r="S28" s="81"/>
      <c r="T28" s="81"/>
      <c r="U28" s="58"/>
      <c r="V28" s="464"/>
      <c r="W28" s="476"/>
      <c r="X28" s="666"/>
      <c r="Y28" s="522"/>
      <c r="Z28" s="522"/>
      <c r="AA28" s="522"/>
      <c r="AB28" s="522"/>
    </row>
    <row r="29" spans="1:28" ht="45" x14ac:dyDescent="0.25">
      <c r="A29" s="646" t="s">
        <v>174</v>
      </c>
      <c r="B29" s="7">
        <f>IF(  AND(ISNUMBER(C29),OR(ISNUMBER(D29),D29="PG")),IF(IF(Capa!$B$6="B",0,Capa!$B$6)&gt;=C29,1,0),"")</f>
        <v>1</v>
      </c>
      <c r="C29" s="17">
        <f t="shared" si="0"/>
        <v>0</v>
      </c>
      <c r="D29" s="647">
        <v>89</v>
      </c>
      <c r="E29" s="352" t="s">
        <v>177</v>
      </c>
      <c r="F29" s="513"/>
      <c r="G29" s="468"/>
      <c r="H29" s="241"/>
      <c r="I29" s="29"/>
      <c r="J29" s="425">
        <f t="shared" ref="J29:J40" si="3">LEN(K29)</f>
        <v>0</v>
      </c>
      <c r="K29" s="471"/>
      <c r="L29" s="697" t="str">
        <f t="shared" ref="L29:L40" si="4">IF(OR(I29="N",I29="P"),1,"")</f>
        <v/>
      </c>
      <c r="M29" s="719"/>
      <c r="N29" s="720"/>
      <c r="O29" s="720"/>
      <c r="P29" s="720"/>
      <c r="Q29" s="720"/>
      <c r="R29" s="720"/>
      <c r="S29" s="720"/>
      <c r="T29" s="721"/>
      <c r="U29" s="71"/>
      <c r="V29" s="464"/>
      <c r="W29" s="476"/>
      <c r="X29" s="522"/>
      <c r="Y29" s="522"/>
      <c r="Z29" s="522"/>
      <c r="AA29" s="522"/>
      <c r="AB29" s="522"/>
    </row>
    <row r="30" spans="1:28" ht="7.35" customHeight="1" x14ac:dyDescent="0.25">
      <c r="A30" s="646" t="s">
        <v>174</v>
      </c>
      <c r="B30" s="7" t="str">
        <f>IF(  AND(ISNUMBER(C30),OR(ISNUMBER(D30),D30="PG")),IF(IF(Capa!$B$6="B",0,Capa!$B$6)&gt;=C30,1,0),"")</f>
        <v/>
      </c>
      <c r="C30" s="17">
        <f t="shared" si="0"/>
        <v>1</v>
      </c>
      <c r="D30" s="647" t="s">
        <v>62</v>
      </c>
      <c r="E30" s="352"/>
      <c r="F30" s="513"/>
      <c r="G30" s="468"/>
      <c r="H30" s="241"/>
      <c r="I30" s="29"/>
      <c r="J30" s="425">
        <f t="shared" si="3"/>
        <v>0</v>
      </c>
      <c r="K30" s="471"/>
      <c r="L30" s="697" t="str">
        <f t="shared" si="4"/>
        <v/>
      </c>
      <c r="M30" s="719"/>
      <c r="N30" s="720"/>
      <c r="O30" s="720"/>
      <c r="P30" s="720"/>
      <c r="Q30" s="720"/>
      <c r="R30" s="720"/>
      <c r="S30" s="720"/>
      <c r="T30" s="721"/>
      <c r="U30" s="71"/>
      <c r="V30" s="464"/>
      <c r="W30" s="476"/>
      <c r="X30" s="522"/>
      <c r="Y30" s="522"/>
      <c r="Z30" s="522"/>
      <c r="AA30" s="522"/>
      <c r="AB30" s="522"/>
    </row>
    <row r="31" spans="1:28" ht="67.150000000000006" customHeight="1" x14ac:dyDescent="0.25">
      <c r="A31" s="646" t="s">
        <v>174</v>
      </c>
      <c r="B31" s="7">
        <f>IF(  AND(ISNUMBER(C31),OR(ISNUMBER(D31),D31="PG")),IF(IF(Capa!$B$6="B",0,Capa!$B$6)&gt;=C31,1,0),"")</f>
        <v>0</v>
      </c>
      <c r="C31" s="17">
        <f t="shared" si="0"/>
        <v>1</v>
      </c>
      <c r="D31" s="647">
        <v>90</v>
      </c>
      <c r="E31" s="352" t="s">
        <v>178</v>
      </c>
      <c r="F31" s="513"/>
      <c r="G31" s="468"/>
      <c r="H31" s="241"/>
      <c r="I31" s="29"/>
      <c r="J31" s="425">
        <f t="shared" si="3"/>
        <v>0</v>
      </c>
      <c r="K31" s="471"/>
      <c r="L31" s="697" t="str">
        <f t="shared" si="4"/>
        <v/>
      </c>
      <c r="M31" s="719"/>
      <c r="N31" s="720"/>
      <c r="O31" s="720"/>
      <c r="P31" s="720"/>
      <c r="Q31" s="720"/>
      <c r="R31" s="720"/>
      <c r="S31" s="720"/>
      <c r="T31" s="721"/>
      <c r="U31" s="71"/>
      <c r="V31" s="464"/>
      <c r="W31" s="476"/>
      <c r="X31" s="522"/>
      <c r="Y31" s="522"/>
      <c r="Z31" s="522"/>
      <c r="AA31" s="522"/>
      <c r="AB31" s="522"/>
    </row>
    <row r="32" spans="1:28" ht="11.45" customHeight="1" x14ac:dyDescent="0.25">
      <c r="A32" s="646" t="s">
        <v>174</v>
      </c>
      <c r="B32" s="7" t="str">
        <f>IF(  AND(ISNUMBER(C32),OR(ISNUMBER(D32),D32="PG")),IF(IF(Capa!$B$6="B",0,Capa!$B$6)&gt;=C32,1,0),"")</f>
        <v/>
      </c>
      <c r="C32" s="17">
        <f t="shared" si="0"/>
        <v>2</v>
      </c>
      <c r="D32" s="647" t="s">
        <v>64</v>
      </c>
      <c r="E32" s="352"/>
      <c r="F32" s="513"/>
      <c r="G32" s="468"/>
      <c r="H32" s="241"/>
      <c r="I32" s="29"/>
      <c r="J32" s="425">
        <f t="shared" si="3"/>
        <v>0</v>
      </c>
      <c r="K32" s="471"/>
      <c r="L32" s="697" t="str">
        <f t="shared" si="4"/>
        <v/>
      </c>
      <c r="M32" s="719"/>
      <c r="N32" s="720"/>
      <c r="O32" s="720"/>
      <c r="P32" s="720"/>
      <c r="Q32" s="720"/>
      <c r="R32" s="720"/>
      <c r="S32" s="720"/>
      <c r="T32" s="721"/>
      <c r="U32" s="71"/>
      <c r="V32" s="464"/>
      <c r="W32" s="476"/>
      <c r="X32" s="522"/>
      <c r="Y32" s="522"/>
      <c r="Z32" s="522"/>
      <c r="AA32" s="522"/>
      <c r="AB32" s="522"/>
    </row>
    <row r="33" spans="1:28" ht="60" x14ac:dyDescent="0.25">
      <c r="A33" s="646" t="s">
        <v>174</v>
      </c>
      <c r="B33" s="7">
        <f>IF(  AND(ISNUMBER(C33),OR(ISNUMBER(D33),D33="PG")),IF(IF(Capa!$B$6="B",0,Capa!$B$6)&gt;=C33,1,0),"")</f>
        <v>0</v>
      </c>
      <c r="C33" s="17">
        <f t="shared" si="0"/>
        <v>2</v>
      </c>
      <c r="D33" s="647">
        <v>91</v>
      </c>
      <c r="E33" s="352" t="s">
        <v>179</v>
      </c>
      <c r="F33" s="513"/>
      <c r="G33" s="468"/>
      <c r="H33" s="241"/>
      <c r="I33" s="29"/>
      <c r="J33" s="425">
        <f t="shared" si="3"/>
        <v>0</v>
      </c>
      <c r="K33" s="471"/>
      <c r="L33" s="697" t="str">
        <f t="shared" si="4"/>
        <v/>
      </c>
      <c r="M33" s="719"/>
      <c r="N33" s="720"/>
      <c r="O33" s="720"/>
      <c r="P33" s="720"/>
      <c r="Q33" s="720"/>
      <c r="R33" s="720"/>
      <c r="S33" s="720"/>
      <c r="T33" s="721"/>
      <c r="U33" s="71"/>
      <c r="V33" s="464"/>
      <c r="W33" s="476"/>
      <c r="X33" s="522"/>
      <c r="Y33" s="522"/>
      <c r="Z33" s="522"/>
      <c r="AA33" s="522"/>
      <c r="AB33" s="522"/>
    </row>
    <row r="34" spans="1:28" ht="45" x14ac:dyDescent="0.25">
      <c r="A34" s="646" t="s">
        <v>174</v>
      </c>
      <c r="B34" s="7">
        <f>IF(  AND(ISNUMBER(C34),OR(ISNUMBER(D34),D34="PG")),IF(IF(Capa!$B$6="B",0,Capa!$B$6)&gt;=C34,1,0),"")</f>
        <v>0</v>
      </c>
      <c r="C34" s="17">
        <f t="shared" si="0"/>
        <v>2</v>
      </c>
      <c r="D34" s="647">
        <v>92</v>
      </c>
      <c r="E34" s="398" t="s">
        <v>180</v>
      </c>
      <c r="F34" s="513"/>
      <c r="G34" s="468"/>
      <c r="H34" s="241"/>
      <c r="I34" s="29"/>
      <c r="J34" s="425">
        <f t="shared" si="3"/>
        <v>0</v>
      </c>
      <c r="K34" s="471"/>
      <c r="L34" s="697" t="str">
        <f t="shared" si="4"/>
        <v/>
      </c>
      <c r="M34" s="719"/>
      <c r="N34" s="720"/>
      <c r="O34" s="720"/>
      <c r="P34" s="720"/>
      <c r="Q34" s="720"/>
      <c r="R34" s="720"/>
      <c r="S34" s="720"/>
      <c r="T34" s="721"/>
      <c r="U34" s="71"/>
      <c r="V34" s="464"/>
      <c r="W34" s="476"/>
      <c r="X34" s="666"/>
      <c r="Y34" s="522"/>
      <c r="Z34" s="522"/>
      <c r="AA34" s="522"/>
      <c r="AB34" s="522"/>
    </row>
    <row r="35" spans="1:28" ht="105" x14ac:dyDescent="0.25">
      <c r="A35" s="646" t="s">
        <v>174</v>
      </c>
      <c r="B35" s="7">
        <f>IF(  AND(ISNUMBER(C35),OR(ISNUMBER(D35),D35="PG")),IF(IF(Capa!$B$6="B",0,Capa!$B$6)&gt;=C35,1,0),"")</f>
        <v>0</v>
      </c>
      <c r="C35" s="17">
        <f t="shared" si="0"/>
        <v>2</v>
      </c>
      <c r="D35" s="647">
        <v>93</v>
      </c>
      <c r="E35" s="352" t="s">
        <v>181</v>
      </c>
      <c r="F35" s="513"/>
      <c r="G35" s="468"/>
      <c r="H35" s="241"/>
      <c r="I35" s="29"/>
      <c r="J35" s="425">
        <f t="shared" si="3"/>
        <v>0</v>
      </c>
      <c r="K35" s="471"/>
      <c r="L35" s="697" t="str">
        <f t="shared" si="4"/>
        <v/>
      </c>
      <c r="M35" s="719"/>
      <c r="N35" s="720"/>
      <c r="O35" s="720"/>
      <c r="P35" s="720"/>
      <c r="Q35" s="720"/>
      <c r="R35" s="720"/>
      <c r="S35" s="720"/>
      <c r="T35" s="721"/>
      <c r="U35" s="71"/>
      <c r="V35" s="464"/>
      <c r="W35" s="476"/>
      <c r="X35" s="522"/>
      <c r="Y35" s="522"/>
      <c r="Z35" s="522"/>
      <c r="AA35" s="522"/>
      <c r="AB35" s="522"/>
    </row>
    <row r="36" spans="1:28" ht="45" x14ac:dyDescent="0.25">
      <c r="A36" s="646" t="s">
        <v>174</v>
      </c>
      <c r="B36" s="7">
        <f>IF(  AND(ISNUMBER(C36),OR(ISNUMBER(D36),D36="PG")),IF(IF(Capa!$B$6="B",0,Capa!$B$6)&gt;=C36,1,0),"")</f>
        <v>0</v>
      </c>
      <c r="C36" s="17">
        <f t="shared" si="0"/>
        <v>2</v>
      </c>
      <c r="D36" s="647">
        <v>94</v>
      </c>
      <c r="E36" s="352" t="s">
        <v>182</v>
      </c>
      <c r="F36" s="513"/>
      <c r="G36" s="468"/>
      <c r="H36" s="241"/>
      <c r="I36" s="29"/>
      <c r="J36" s="425">
        <f t="shared" si="3"/>
        <v>0</v>
      </c>
      <c r="K36" s="471"/>
      <c r="L36" s="697" t="str">
        <f t="shared" si="4"/>
        <v/>
      </c>
      <c r="M36" s="719"/>
      <c r="N36" s="720"/>
      <c r="O36" s="720"/>
      <c r="P36" s="720"/>
      <c r="Q36" s="720"/>
      <c r="R36" s="720"/>
      <c r="S36" s="720"/>
      <c r="T36" s="721"/>
      <c r="U36" s="71"/>
      <c r="V36" s="464"/>
      <c r="W36" s="476"/>
      <c r="X36" s="522"/>
      <c r="Y36" s="522"/>
      <c r="Z36" s="522"/>
      <c r="AA36" s="522"/>
      <c r="AB36" s="522"/>
    </row>
    <row r="37" spans="1:28" ht="45" x14ac:dyDescent="0.25">
      <c r="A37" s="646" t="s">
        <v>174</v>
      </c>
      <c r="B37" s="7">
        <f>IF(  AND(ISNUMBER(C37),OR(ISNUMBER(D37),D37="PG")),IF(IF(Capa!$B$6="B",0,Capa!$B$6)&gt;=C37,1,0),"")</f>
        <v>0</v>
      </c>
      <c r="C37" s="17">
        <f t="shared" si="0"/>
        <v>2</v>
      </c>
      <c r="D37" s="647">
        <v>95</v>
      </c>
      <c r="E37" s="398" t="s">
        <v>183</v>
      </c>
      <c r="F37" s="513"/>
      <c r="G37" s="468"/>
      <c r="H37" s="241"/>
      <c r="I37" s="29"/>
      <c r="J37" s="425">
        <f t="shared" si="3"/>
        <v>0</v>
      </c>
      <c r="K37" s="471"/>
      <c r="L37" s="697" t="str">
        <f t="shared" si="4"/>
        <v/>
      </c>
      <c r="M37" s="719"/>
      <c r="N37" s="720"/>
      <c r="O37" s="720"/>
      <c r="P37" s="720"/>
      <c r="Q37" s="720"/>
      <c r="R37" s="720"/>
      <c r="S37" s="720"/>
      <c r="T37" s="721"/>
      <c r="U37" s="71"/>
      <c r="V37" s="464"/>
      <c r="W37" s="476"/>
      <c r="X37" s="522"/>
      <c r="Y37" s="522"/>
      <c r="Z37" s="522"/>
      <c r="AA37" s="522"/>
      <c r="AB37" s="522"/>
    </row>
    <row r="38" spans="1:28" ht="7.35" customHeight="1" x14ac:dyDescent="0.25">
      <c r="A38" s="646" t="s">
        <v>174</v>
      </c>
      <c r="B38" s="7" t="str">
        <f>IF(  AND(ISNUMBER(C38),OR(ISNUMBER(D38),D38="PG")),IF(IF(Capa!$B$6="B",0,Capa!$B$6)&gt;=C38,1,0),"")</f>
        <v/>
      </c>
      <c r="C38" s="17">
        <f t="shared" si="0"/>
        <v>3</v>
      </c>
      <c r="D38" s="647" t="s">
        <v>70</v>
      </c>
      <c r="E38" s="352"/>
      <c r="F38" s="513"/>
      <c r="G38" s="468"/>
      <c r="H38" s="241"/>
      <c r="I38" s="29"/>
      <c r="J38" s="425">
        <f t="shared" si="3"/>
        <v>0</v>
      </c>
      <c r="K38" s="471"/>
      <c r="L38" s="697" t="str">
        <f t="shared" si="4"/>
        <v/>
      </c>
      <c r="M38" s="719"/>
      <c r="N38" s="720"/>
      <c r="O38" s="720"/>
      <c r="P38" s="720"/>
      <c r="Q38" s="720"/>
      <c r="R38" s="720"/>
      <c r="S38" s="720"/>
      <c r="T38" s="721"/>
      <c r="U38" s="71"/>
      <c r="V38" s="464"/>
      <c r="W38" s="476"/>
      <c r="X38" s="522"/>
      <c r="Y38" s="522"/>
      <c r="Z38" s="522"/>
      <c r="AA38" s="522"/>
      <c r="AB38" s="522"/>
    </row>
    <row r="39" spans="1:28" ht="75" x14ac:dyDescent="0.25">
      <c r="A39" s="646" t="s">
        <v>174</v>
      </c>
      <c r="B39" s="7">
        <f>IF(  AND(ISNUMBER(C39),OR(ISNUMBER(D39),D39="PG")),IF(IF(Capa!$B$6="B",0,Capa!$B$6)&gt;=C39,1,0),"")</f>
        <v>0</v>
      </c>
      <c r="C39" s="17">
        <f t="shared" si="0"/>
        <v>3</v>
      </c>
      <c r="D39" s="647">
        <v>96</v>
      </c>
      <c r="E39" s="398" t="s">
        <v>184</v>
      </c>
      <c r="F39" s="513"/>
      <c r="G39" s="468"/>
      <c r="H39" s="241"/>
      <c r="I39" s="29"/>
      <c r="J39" s="425">
        <f t="shared" si="3"/>
        <v>0</v>
      </c>
      <c r="K39" s="471"/>
      <c r="L39" s="697" t="str">
        <f t="shared" si="4"/>
        <v/>
      </c>
      <c r="M39" s="719"/>
      <c r="N39" s="720"/>
      <c r="O39" s="720"/>
      <c r="P39" s="720"/>
      <c r="Q39" s="720"/>
      <c r="R39" s="720"/>
      <c r="S39" s="720"/>
      <c r="T39" s="721"/>
      <c r="U39" s="71"/>
      <c r="V39" s="464"/>
      <c r="W39" s="476"/>
      <c r="X39" s="522"/>
      <c r="Y39" s="522"/>
      <c r="Z39" s="522"/>
      <c r="AA39" s="522"/>
      <c r="AB39" s="522"/>
    </row>
    <row r="40" spans="1:28" ht="120" x14ac:dyDescent="0.25">
      <c r="A40" s="646" t="s">
        <v>174</v>
      </c>
      <c r="B40" s="7">
        <f>IF(  AND(ISNUMBER(C40),OR(ISNUMBER(D40),D40="PG")),IF(IF(Capa!$B$6="B",0,Capa!$B$6)&gt;=C40,1,0),"")</f>
        <v>0</v>
      </c>
      <c r="C40" s="17">
        <f t="shared" si="0"/>
        <v>3</v>
      </c>
      <c r="D40" s="647">
        <v>97</v>
      </c>
      <c r="E40" s="352" t="s">
        <v>185</v>
      </c>
      <c r="F40" s="513"/>
      <c r="G40" s="468"/>
      <c r="H40" s="241"/>
      <c r="I40" s="29"/>
      <c r="J40" s="425">
        <f t="shared" si="3"/>
        <v>0</v>
      </c>
      <c r="K40" s="471"/>
      <c r="L40" s="697" t="str">
        <f t="shared" si="4"/>
        <v/>
      </c>
      <c r="M40" s="719"/>
      <c r="N40" s="720"/>
      <c r="O40" s="720"/>
      <c r="P40" s="720"/>
      <c r="Q40" s="720"/>
      <c r="R40" s="720"/>
      <c r="S40" s="720"/>
      <c r="T40" s="721"/>
      <c r="U40" s="71"/>
      <c r="V40" s="464"/>
      <c r="W40" s="476"/>
      <c r="X40" s="522"/>
      <c r="Y40" s="522"/>
      <c r="Z40" s="522"/>
      <c r="AA40" s="522"/>
      <c r="AB40" s="522"/>
    </row>
    <row r="41" spans="1:28" ht="9.6" customHeight="1" x14ac:dyDescent="0.25">
      <c r="B41" s="7" t="str">
        <f>IF(  AND(ISNUMBER(C41),OR(ISNUMBER(D41),D41="PG")),IF(IF(Capa!$B$6="B",0,Capa!$B$6)&gt;=C41,1,0),"")</f>
        <v/>
      </c>
      <c r="C41" s="17" t="str">
        <f t="shared" si="0"/>
        <v/>
      </c>
      <c r="D41" s="225"/>
      <c r="E41" s="401"/>
      <c r="F41" s="123"/>
      <c r="G41" s="227"/>
      <c r="H41" s="227"/>
      <c r="I41" s="123"/>
      <c r="J41" s="227"/>
      <c r="K41" s="692"/>
      <c r="L41" s="246"/>
      <c r="M41" s="120"/>
      <c r="N41" s="120"/>
      <c r="O41" s="120"/>
      <c r="P41" s="120"/>
      <c r="Q41" s="120"/>
      <c r="R41" s="120"/>
      <c r="S41" s="281"/>
      <c r="T41" s="281"/>
      <c r="U41" s="613"/>
      <c r="V41" s="544"/>
      <c r="W41" s="121"/>
      <c r="X41" s="522"/>
      <c r="Y41" s="522"/>
      <c r="Z41" s="522"/>
      <c r="AA41" s="522"/>
      <c r="AB41" s="522"/>
    </row>
    <row r="42" spans="1:28" x14ac:dyDescent="0.25">
      <c r="A42" s="210" t="s">
        <v>186</v>
      </c>
      <c r="B42" s="7" t="str">
        <f>IF(  AND(ISNUMBER(C42),OR(ISNUMBER(D42),D42="PG")),IF(IF(Capa!$B$6="B",0,Capa!$B$6)&gt;=C42,1,0),"")</f>
        <v/>
      </c>
      <c r="C42" s="17" t="str">
        <f t="shared" si="0"/>
        <v/>
      </c>
      <c r="D42" s="15"/>
      <c r="E42" s="395" t="s">
        <v>187</v>
      </c>
      <c r="F42" s="517"/>
      <c r="G42" s="550"/>
      <c r="H42" s="219"/>
      <c r="I42" s="23"/>
      <c r="J42" s="219"/>
      <c r="K42" s="528"/>
      <c r="L42" s="383">
        <f>IF(AND($B44=1,D44="PG"),IF(COUNTIFS($A$1:$A$240,"="&amp;$A42,$B$1:$B$240,"&gt;0",$D$1:$D$240,"&gt;0")&gt;0,
        (COUNTIFS($A$1:$A$240,"="&amp;$A42,$B$1:$B$240,"&gt;0",$D$1:$D$240,"&gt;0",F$1:F$240,"=S",I$1:I$240,"") +
         (COUNTIFS($A$1:$A$240,"="&amp;$A42,$B$1:$B$240,"&gt;0",$D$1:$D$240,"&gt;0",$F$1:$F$240,"=P",I$1:I$240,"")/2) +
         COUNTIFS($A$1:$A$240,"="&amp;$A42,$B$1:$B$240,"&gt;0",$D$1:$D$240,"&gt;0",I$1:I$240,"=S") +
         (COUNTIFS($A$1:$A$240,"="&amp;$A42,$B$1:$B$240,"&gt;0",$D$1:$D$240,"&gt;0",I$1:I$240,"=P")/2)
         )/COUNTIFS($A$1:$A$240,"="&amp;$A42,$B$1:$B$240,"&gt;0",$D$1:$D$240,"&gt;0"),1),"")</f>
        <v>0</v>
      </c>
      <c r="M42" s="380"/>
      <c r="N42" s="70"/>
      <c r="O42" s="68"/>
      <c r="P42" s="68"/>
      <c r="Q42" s="83">
        <f>IF(L42="","",MIN(IF(ISBLANK(Q44),0,Q44),IF(L42&gt;=0.9,4,IF(L42&gt;=0.7,3,IF(L42&gt;=0.5,2,IF(OR(L42&gt;0,Q44&gt;0),1,0))))))</f>
        <v>0</v>
      </c>
      <c r="R42" s="68"/>
      <c r="S42" s="68"/>
      <c r="T42" s="68"/>
      <c r="U42" s="68"/>
      <c r="V42" s="545"/>
      <c r="W42" s="66"/>
      <c r="X42" s="579"/>
      <c r="Y42" s="579"/>
      <c r="Z42" s="579"/>
      <c r="AA42" s="579"/>
      <c r="AB42" s="579"/>
    </row>
    <row r="43" spans="1:28" ht="5.45" customHeight="1" x14ac:dyDescent="0.25">
      <c r="A43" s="210" t="s">
        <v>186</v>
      </c>
      <c r="B43" s="7" t="str">
        <f>IF(  AND(ISNUMBER(C43),OR(ISNUMBER(D43),D43="PG")),IF(IF(Capa!$B$6="B",0,Capa!$B$6)&gt;=C43,1,0),"")</f>
        <v/>
      </c>
      <c r="C43" s="17">
        <f t="shared" si="0"/>
        <v>0</v>
      </c>
      <c r="D43" s="5" t="s">
        <v>53</v>
      </c>
      <c r="E43" s="394"/>
      <c r="F43" s="516"/>
      <c r="G43" s="551"/>
      <c r="H43" s="239"/>
      <c r="I43" s="27"/>
      <c r="J43" s="239"/>
      <c r="K43" s="529"/>
      <c r="L43" s="242"/>
      <c r="M43" s="63"/>
      <c r="N43" s="63"/>
      <c r="O43" s="63"/>
      <c r="P43" s="63"/>
      <c r="Q43" s="63"/>
      <c r="R43" s="63"/>
      <c r="U43" s="287"/>
      <c r="V43" s="546"/>
      <c r="X43" s="522"/>
      <c r="Y43" s="522"/>
      <c r="Z43" s="522"/>
      <c r="AA43" s="522"/>
      <c r="AB43" s="522"/>
    </row>
    <row r="44" spans="1:28" ht="200.25" customHeight="1" x14ac:dyDescent="0.25">
      <c r="A44" s="646" t="s">
        <v>186</v>
      </c>
      <c r="B44" s="7">
        <f>IF(  AND(ISNUMBER(C44),OR(ISNUMBER(D44),D44="PG")),IF(IF(Capa!$B$6="B",0,Capa!$B$6)&gt;=C44,1,0),"")</f>
        <v>1</v>
      </c>
      <c r="C44" s="17">
        <f t="shared" si="0"/>
        <v>0</v>
      </c>
      <c r="D44" s="647" t="s">
        <v>54</v>
      </c>
      <c r="E44" s="389" t="s">
        <v>188</v>
      </c>
      <c r="F44" s="513"/>
      <c r="G44" s="468"/>
      <c r="H44" s="241"/>
      <c r="I44" s="29"/>
      <c r="J44" s="239"/>
      <c r="K44" s="471"/>
      <c r="L44" s="697" t="str">
        <f>IF(OR(AND(NOT(ISBLANK(M44)),M44&lt;IF(Capa!$B$6&lt;&gt;"B",Capa!$B$6+1,1)),AND(NOT(ISBLANK(N44)),N44&lt;IF(Capa!$B$6&lt;&gt;"B",Capa!$B$6+1,1)),AND(NOT(ISBLANK(O44)),O44&lt;IF(Capa!$B$6&lt;&gt;"B",Capa!$B$6+1,1)),AND(NOT(ISBLANK(Q44)),Q44&lt;IF(Capa!$B$6&lt;&gt;"B",Capa!$B$6+1,1)),AND(NOT(ISBLANK(R44)),R44&lt;IF(Capa!$B$6&lt;&gt;"B",Capa!$B$6+1,1)),AND(NOT(ISBLANK(S44)),S44&lt;IF(Capa!$B$6&lt;&gt;"B",Capa!$B$6+1,1))),1,"")</f>
        <v/>
      </c>
      <c r="M44" s="81"/>
      <c r="N44" s="81"/>
      <c r="O44" s="81"/>
      <c r="P44" s="81"/>
      <c r="Q44" s="81"/>
      <c r="R44" s="81"/>
      <c r="S44" s="81"/>
      <c r="T44" s="81"/>
      <c r="U44" s="58"/>
      <c r="V44" s="464"/>
      <c r="W44" s="476"/>
      <c r="X44" s="666"/>
      <c r="Y44" s="522"/>
      <c r="Z44" s="522"/>
      <c r="AA44" s="522"/>
      <c r="AB44" s="522"/>
    </row>
    <row r="45" spans="1:28" ht="60" x14ac:dyDescent="0.25">
      <c r="A45" s="646" t="s">
        <v>186</v>
      </c>
      <c r="B45" s="7">
        <f>IF(  AND(ISNUMBER(C45),OR(ISNUMBER(D45),D45="PG")),IF(IF(Capa!$B$6="B",0,Capa!$B$6)&gt;=C45,1,0),"")</f>
        <v>1</v>
      </c>
      <c r="C45" s="17">
        <f t="shared" si="0"/>
        <v>0</v>
      </c>
      <c r="D45" s="647">
        <v>98</v>
      </c>
      <c r="E45" s="352" t="s">
        <v>189</v>
      </c>
      <c r="F45" s="513"/>
      <c r="G45" s="468"/>
      <c r="H45" s="241"/>
      <c r="I45" s="29"/>
      <c r="J45" s="425">
        <f t="shared" ref="J45:J53" si="5">LEN(K45)</f>
        <v>0</v>
      </c>
      <c r="K45" s="471"/>
      <c r="L45" s="697" t="str">
        <f t="shared" ref="L45:L53" si="6">IF(OR(I45="N",I45="P"),1,"")</f>
        <v/>
      </c>
      <c r="M45" s="719"/>
      <c r="N45" s="720"/>
      <c r="O45" s="720"/>
      <c r="P45" s="720"/>
      <c r="Q45" s="720"/>
      <c r="R45" s="720"/>
      <c r="S45" s="720"/>
      <c r="T45" s="721"/>
      <c r="U45" s="71"/>
      <c r="V45" s="464"/>
      <c r="W45" s="476"/>
      <c r="X45" s="522"/>
      <c r="Y45" s="522"/>
      <c r="Z45" s="522"/>
      <c r="AA45" s="522"/>
      <c r="AB45" s="522"/>
    </row>
    <row r="46" spans="1:28" ht="6" customHeight="1" x14ac:dyDescent="0.25">
      <c r="A46" s="646" t="s">
        <v>186</v>
      </c>
      <c r="B46" s="7" t="str">
        <f>IF(  AND(ISNUMBER(C46),OR(ISNUMBER(D46),D46="PG")),IF(IF(Capa!$B$6="B",0,Capa!$B$6)&gt;=C46,1,0),"")</f>
        <v/>
      </c>
      <c r="C46" s="17">
        <f t="shared" si="0"/>
        <v>1</v>
      </c>
      <c r="D46" s="647" t="s">
        <v>62</v>
      </c>
      <c r="E46" s="352"/>
      <c r="F46" s="513"/>
      <c r="G46" s="468"/>
      <c r="H46" s="241"/>
      <c r="I46" s="29"/>
      <c r="J46" s="425">
        <f t="shared" si="5"/>
        <v>0</v>
      </c>
      <c r="K46" s="471"/>
      <c r="L46" s="697" t="str">
        <f t="shared" si="6"/>
        <v/>
      </c>
      <c r="M46" s="719"/>
      <c r="N46" s="720"/>
      <c r="O46" s="720"/>
      <c r="P46" s="720"/>
      <c r="Q46" s="720"/>
      <c r="R46" s="720"/>
      <c r="S46" s="720"/>
      <c r="T46" s="721"/>
      <c r="U46" s="71"/>
      <c r="V46" s="464"/>
      <c r="W46" s="476"/>
      <c r="X46" s="522"/>
      <c r="Y46" s="522"/>
      <c r="Z46" s="522"/>
      <c r="AA46" s="522"/>
      <c r="AB46" s="522"/>
    </row>
    <row r="47" spans="1:28" ht="45" x14ac:dyDescent="0.25">
      <c r="A47" s="646" t="s">
        <v>186</v>
      </c>
      <c r="B47" s="7">
        <f>IF(  AND(ISNUMBER(C47),OR(ISNUMBER(D47),D47="PG")),IF(IF(Capa!$B$6="B",0,Capa!$B$6)&gt;=C47,1,0),"")</f>
        <v>0</v>
      </c>
      <c r="C47" s="17">
        <f t="shared" si="0"/>
        <v>1</v>
      </c>
      <c r="D47" s="647">
        <v>99</v>
      </c>
      <c r="E47" s="352" t="s">
        <v>190</v>
      </c>
      <c r="F47" s="513"/>
      <c r="G47" s="468"/>
      <c r="H47" s="241"/>
      <c r="I47" s="29"/>
      <c r="J47" s="425">
        <f t="shared" si="5"/>
        <v>0</v>
      </c>
      <c r="K47" s="471"/>
      <c r="L47" s="697" t="str">
        <f t="shared" si="6"/>
        <v/>
      </c>
      <c r="M47" s="719"/>
      <c r="N47" s="720"/>
      <c r="O47" s="720"/>
      <c r="P47" s="720"/>
      <c r="Q47" s="720"/>
      <c r="R47" s="720"/>
      <c r="S47" s="720"/>
      <c r="T47" s="721"/>
      <c r="U47" s="71"/>
      <c r="V47" s="464"/>
      <c r="W47" s="476"/>
      <c r="X47" s="522"/>
      <c r="Y47" s="522"/>
      <c r="Z47" s="522"/>
      <c r="AA47" s="522"/>
      <c r="AB47" s="522"/>
    </row>
    <row r="48" spans="1:28" ht="7.7" customHeight="1" x14ac:dyDescent="0.25">
      <c r="A48" s="646" t="s">
        <v>186</v>
      </c>
      <c r="B48" s="7" t="str">
        <f>IF(  AND(ISNUMBER(C48),OR(ISNUMBER(D48),D48="PG")),IF(IF(Capa!$B$6="B",0,Capa!$B$6)&gt;=C48,1,0),"")</f>
        <v/>
      </c>
      <c r="C48" s="17">
        <f t="shared" si="0"/>
        <v>2</v>
      </c>
      <c r="D48" s="647" t="s">
        <v>64</v>
      </c>
      <c r="E48" s="352"/>
      <c r="F48" s="513"/>
      <c r="G48" s="468"/>
      <c r="H48" s="241"/>
      <c r="I48" s="29"/>
      <c r="J48" s="425">
        <f t="shared" si="5"/>
        <v>0</v>
      </c>
      <c r="K48" s="471"/>
      <c r="L48" s="697" t="str">
        <f t="shared" si="6"/>
        <v/>
      </c>
      <c r="M48" s="719"/>
      <c r="N48" s="720"/>
      <c r="O48" s="720"/>
      <c r="P48" s="720"/>
      <c r="Q48" s="720"/>
      <c r="R48" s="720"/>
      <c r="S48" s="720"/>
      <c r="T48" s="721"/>
      <c r="U48" s="71"/>
      <c r="V48" s="464"/>
      <c r="W48" s="476"/>
      <c r="X48" s="522"/>
      <c r="Y48" s="522"/>
      <c r="Z48" s="522"/>
      <c r="AA48" s="522"/>
      <c r="AB48" s="522"/>
    </row>
    <row r="49" spans="1:28" ht="45" x14ac:dyDescent="0.25">
      <c r="A49" s="646" t="s">
        <v>186</v>
      </c>
      <c r="B49" s="7">
        <f>IF(  AND(ISNUMBER(C49),OR(ISNUMBER(D49),D49="PG")),IF(IF(Capa!$B$6="B",0,Capa!$B$6)&gt;=C49,1,0),"")</f>
        <v>0</v>
      </c>
      <c r="C49" s="17">
        <f t="shared" si="0"/>
        <v>2</v>
      </c>
      <c r="D49" s="647">
        <v>100</v>
      </c>
      <c r="E49" s="352" t="s">
        <v>191</v>
      </c>
      <c r="F49" s="513"/>
      <c r="G49" s="468"/>
      <c r="H49" s="241"/>
      <c r="I49" s="29"/>
      <c r="J49" s="425">
        <f t="shared" si="5"/>
        <v>0</v>
      </c>
      <c r="K49" s="471"/>
      <c r="L49" s="697" t="str">
        <f t="shared" si="6"/>
        <v/>
      </c>
      <c r="M49" s="719"/>
      <c r="N49" s="720"/>
      <c r="O49" s="720"/>
      <c r="P49" s="720"/>
      <c r="Q49" s="720"/>
      <c r="R49" s="720"/>
      <c r="S49" s="720"/>
      <c r="T49" s="721"/>
      <c r="U49" s="71"/>
      <c r="V49" s="464"/>
      <c r="W49" s="476"/>
      <c r="X49" s="522"/>
      <c r="Y49" s="522"/>
      <c r="Z49" s="522"/>
      <c r="AA49" s="522"/>
      <c r="AB49" s="522"/>
    </row>
    <row r="50" spans="1:28" ht="82.15" customHeight="1" x14ac:dyDescent="0.25">
      <c r="A50" s="646" t="s">
        <v>186</v>
      </c>
      <c r="B50" s="7">
        <f>IF(  AND(ISNUMBER(C50),OR(ISNUMBER(D50),D50="PG")),IF(IF(Capa!$B$6="B",0,Capa!$B$6)&gt;=C50,1,0),"")</f>
        <v>0</v>
      </c>
      <c r="C50" s="17">
        <f t="shared" si="0"/>
        <v>2</v>
      </c>
      <c r="D50" s="647">
        <v>101</v>
      </c>
      <c r="E50" s="352" t="s">
        <v>192</v>
      </c>
      <c r="F50" s="513"/>
      <c r="G50" s="468"/>
      <c r="H50" s="241"/>
      <c r="I50" s="29"/>
      <c r="J50" s="425">
        <f t="shared" si="5"/>
        <v>0</v>
      </c>
      <c r="K50" s="471"/>
      <c r="L50" s="697" t="str">
        <f t="shared" si="6"/>
        <v/>
      </c>
      <c r="M50" s="719"/>
      <c r="N50" s="720"/>
      <c r="O50" s="720"/>
      <c r="P50" s="720"/>
      <c r="Q50" s="720"/>
      <c r="R50" s="720"/>
      <c r="S50" s="720"/>
      <c r="T50" s="721"/>
      <c r="U50" s="71"/>
      <c r="V50" s="464"/>
      <c r="W50" s="476"/>
      <c r="X50" s="666"/>
      <c r="Y50" s="522"/>
      <c r="Z50" s="522"/>
      <c r="AA50" s="522"/>
      <c r="AB50" s="522"/>
    </row>
    <row r="51" spans="1:28" ht="64.900000000000006" customHeight="1" x14ac:dyDescent="0.25">
      <c r="A51" s="646" t="s">
        <v>186</v>
      </c>
      <c r="B51" s="7">
        <f>IF(  AND(ISNUMBER(C51),OR(ISNUMBER(D51),D51="PG")),IF(IF(Capa!$B$6="B",0,Capa!$B$6)&gt;=C51,1,0),"")</f>
        <v>0</v>
      </c>
      <c r="C51" s="17">
        <f t="shared" si="0"/>
        <v>2</v>
      </c>
      <c r="D51" s="647">
        <v>102</v>
      </c>
      <c r="E51" s="398" t="s">
        <v>193</v>
      </c>
      <c r="F51" s="513"/>
      <c r="G51" s="468"/>
      <c r="H51" s="241"/>
      <c r="I51" s="29"/>
      <c r="J51" s="425">
        <f t="shared" si="5"/>
        <v>0</v>
      </c>
      <c r="K51" s="471"/>
      <c r="L51" s="697" t="str">
        <f t="shared" si="6"/>
        <v/>
      </c>
      <c r="M51" s="719"/>
      <c r="N51" s="720"/>
      <c r="O51" s="720"/>
      <c r="P51" s="720"/>
      <c r="Q51" s="720"/>
      <c r="R51" s="720"/>
      <c r="S51" s="720"/>
      <c r="T51" s="721"/>
      <c r="U51" s="71"/>
      <c r="V51" s="464"/>
      <c r="W51" s="476"/>
      <c r="X51" s="522"/>
      <c r="Y51" s="522"/>
      <c r="Z51" s="522"/>
      <c r="AA51" s="522"/>
      <c r="AB51" s="522"/>
    </row>
    <row r="52" spans="1:28" ht="6.6" customHeight="1" x14ac:dyDescent="0.25">
      <c r="A52" s="646" t="s">
        <v>186</v>
      </c>
      <c r="B52" s="7" t="str">
        <f>IF(  AND(ISNUMBER(C52),OR(ISNUMBER(D52),D52="PG")),IF(IF(Capa!$B$6="B",0,Capa!$B$6)&gt;=C52,1,0),"")</f>
        <v/>
      </c>
      <c r="C52" s="17">
        <f t="shared" si="0"/>
        <v>3</v>
      </c>
      <c r="D52" s="647" t="s">
        <v>70</v>
      </c>
      <c r="E52" s="352"/>
      <c r="F52" s="513"/>
      <c r="G52" s="468"/>
      <c r="H52" s="241"/>
      <c r="I52" s="29"/>
      <c r="J52" s="425">
        <f t="shared" si="5"/>
        <v>0</v>
      </c>
      <c r="K52" s="471"/>
      <c r="L52" s="697" t="str">
        <f t="shared" si="6"/>
        <v/>
      </c>
      <c r="M52" s="719"/>
      <c r="N52" s="720"/>
      <c r="O52" s="720"/>
      <c r="P52" s="720"/>
      <c r="Q52" s="720"/>
      <c r="R52" s="720"/>
      <c r="S52" s="720"/>
      <c r="T52" s="721"/>
      <c r="U52" s="71"/>
      <c r="V52" s="464"/>
      <c r="W52" s="476"/>
      <c r="X52" s="522"/>
      <c r="Y52" s="522"/>
      <c r="Z52" s="522"/>
      <c r="AA52" s="522"/>
      <c r="AB52" s="522"/>
    </row>
    <row r="53" spans="1:28" ht="90" x14ac:dyDescent="0.25">
      <c r="A53" s="646" t="s">
        <v>186</v>
      </c>
      <c r="B53" s="7">
        <f>IF(  AND(ISNUMBER(C53),OR(ISNUMBER(D53),D53="PG")),IF(IF(Capa!$B$6="B",0,Capa!$B$6)&gt;=C53,1,0),"")</f>
        <v>0</v>
      </c>
      <c r="C53" s="17">
        <f t="shared" si="0"/>
        <v>3</v>
      </c>
      <c r="D53" s="647">
        <v>103</v>
      </c>
      <c r="E53" s="352" t="s">
        <v>194</v>
      </c>
      <c r="F53" s="513"/>
      <c r="G53" s="468"/>
      <c r="H53" s="241"/>
      <c r="I53" s="29"/>
      <c r="J53" s="425">
        <f t="shared" si="5"/>
        <v>0</v>
      </c>
      <c r="K53" s="471"/>
      <c r="L53" s="697" t="str">
        <f t="shared" si="6"/>
        <v/>
      </c>
      <c r="M53" s="719"/>
      <c r="N53" s="720"/>
      <c r="O53" s="720"/>
      <c r="P53" s="720"/>
      <c r="Q53" s="720"/>
      <c r="R53" s="720"/>
      <c r="S53" s="720"/>
      <c r="T53" s="721"/>
      <c r="U53" s="71"/>
      <c r="V53" s="464"/>
      <c r="W53" s="476"/>
      <c r="X53" s="522"/>
      <c r="Y53" s="522"/>
      <c r="Z53" s="522"/>
      <c r="AA53" s="522"/>
      <c r="AB53" s="522"/>
    </row>
    <row r="54" spans="1:28" ht="9.6" customHeight="1" x14ac:dyDescent="0.25">
      <c r="B54" s="7" t="str">
        <f>IF(  AND(ISNUMBER(C54),OR(ISNUMBER(D54),D54="PG")),IF(IF(Capa!$B$6="B",0,Capa!$B$6)&gt;=C54,1,0),"")</f>
        <v/>
      </c>
      <c r="C54" s="17" t="str">
        <f t="shared" si="0"/>
        <v/>
      </c>
      <c r="D54" s="225"/>
      <c r="E54" s="401"/>
      <c r="F54" s="123"/>
      <c r="G54" s="227"/>
      <c r="H54" s="227"/>
      <c r="I54" s="123"/>
      <c r="J54" s="227"/>
      <c r="K54" s="692"/>
      <c r="L54" s="227"/>
      <c r="M54" s="120"/>
      <c r="N54" s="120"/>
      <c r="O54" s="120"/>
      <c r="P54" s="120"/>
      <c r="Q54" s="120"/>
      <c r="R54" s="120"/>
      <c r="S54" s="281"/>
      <c r="T54" s="281"/>
      <c r="U54" s="613"/>
      <c r="V54" s="544"/>
      <c r="W54" s="121"/>
      <c r="X54" s="522"/>
      <c r="Y54" s="522"/>
      <c r="Z54" s="522"/>
      <c r="AA54" s="522"/>
      <c r="AB54" s="522"/>
    </row>
    <row r="55" spans="1:28" x14ac:dyDescent="0.25">
      <c r="A55" s="210" t="s">
        <v>195</v>
      </c>
      <c r="B55" s="7" t="str">
        <f>IF(  AND(ISNUMBER(C55),OR(ISNUMBER(D55),D55="PG")),IF(IF(Capa!$B$6="B",0,Capa!$B$6)&gt;=C55,1,0),"")</f>
        <v/>
      </c>
      <c r="C55" s="17" t="str">
        <f t="shared" si="0"/>
        <v/>
      </c>
      <c r="D55" s="15"/>
      <c r="E55" s="395" t="s">
        <v>196</v>
      </c>
      <c r="F55" s="517"/>
      <c r="G55" s="550"/>
      <c r="H55" s="219"/>
      <c r="I55" s="23"/>
      <c r="J55" s="219"/>
      <c r="K55" s="528"/>
      <c r="L55" s="383">
        <f>IF(AND($B57=1,D57="PG"),IF(COUNTIFS($A$1:$A$240,"="&amp;$A55,$B$1:$B$240,"&gt;0",$D$1:$D$240,"&gt;0")&gt;0,
        (COUNTIFS($A$1:$A$240,"="&amp;$A55,$B$1:$B$240,"&gt;0",$D$1:$D$240,"&gt;0",F$1:F$240,"=S",I$1:I$240,"") +
         (COUNTIFS($A$1:$A$240,"="&amp;$A55,$B$1:$B$240,"&gt;0",$D$1:$D$240,"&gt;0",$F$1:$F$240,"=P",I$1:I$240,"")/2) +
         COUNTIFS($A$1:$A$240,"="&amp;$A55,$B$1:$B$240,"&gt;0",$D$1:$D$240,"&gt;0",I$1:I$240,"=S") +
         (COUNTIFS($A$1:$A$240,"="&amp;$A55,$B$1:$B$240,"&gt;0",$D$1:$D$240,"&gt;0",I$1:I$240,"=P")/2)
         )/COUNTIFS($A$1:$A$240,"="&amp;$A55,$B$1:$B$240,"&gt;0",$D$1:$D$240,"&gt;0"),1),"")</f>
        <v>0</v>
      </c>
      <c r="M55" s="380"/>
      <c r="N55" s="70"/>
      <c r="O55" s="68"/>
      <c r="P55" s="68"/>
      <c r="Q55" s="83">
        <f>IF(L55="","",MIN(IF(ISBLANK(Q57),0,Q57),IF(L55&gt;=0.9,4,IF(L55&gt;=0.7,3,IF(L55&gt;=0.5,2,IF(OR(L55&gt;0,Q57&gt;0),1,0))))))</f>
        <v>0</v>
      </c>
      <c r="R55" s="68"/>
      <c r="S55" s="68"/>
      <c r="T55" s="68"/>
      <c r="U55" s="68"/>
      <c r="V55" s="545"/>
      <c r="W55" s="66"/>
      <c r="X55" s="579"/>
      <c r="Y55" s="579"/>
      <c r="Z55" s="579"/>
      <c r="AA55" s="579"/>
      <c r="AB55" s="579"/>
    </row>
    <row r="56" spans="1:28" ht="10.7" customHeight="1" x14ac:dyDescent="0.25">
      <c r="A56" s="210" t="s">
        <v>195</v>
      </c>
      <c r="B56" s="7" t="str">
        <f>IF(  AND(ISNUMBER(C56),OR(ISNUMBER(D56),D56="PG")),IF(IF(Capa!$B$6="B",0,Capa!$B$6)&gt;=C56,1,0),"")</f>
        <v/>
      </c>
      <c r="C56" s="17">
        <f t="shared" si="0"/>
        <v>0</v>
      </c>
      <c r="D56" s="18" t="s">
        <v>53</v>
      </c>
      <c r="E56" s="394"/>
      <c r="F56" s="516"/>
      <c r="G56" s="551"/>
      <c r="H56" s="239"/>
      <c r="I56" s="26"/>
      <c r="J56" s="239"/>
      <c r="K56" s="529"/>
      <c r="L56" s="242"/>
      <c r="M56" s="120"/>
      <c r="N56" s="120"/>
      <c r="O56" s="120"/>
      <c r="P56" s="120"/>
      <c r="Q56" s="120"/>
      <c r="R56" s="120"/>
      <c r="S56" s="281"/>
      <c r="T56" s="281"/>
      <c r="U56" s="355"/>
      <c r="V56" s="465"/>
      <c r="W56" s="478"/>
      <c r="X56" s="522"/>
      <c r="Y56" s="522"/>
      <c r="Z56" s="522"/>
      <c r="AA56" s="522"/>
      <c r="AB56" s="522"/>
    </row>
    <row r="57" spans="1:28" ht="89.25" x14ac:dyDescent="0.25">
      <c r="A57" s="646" t="s">
        <v>195</v>
      </c>
      <c r="B57" s="7">
        <f>IF(  AND(ISNUMBER(C57),OR(ISNUMBER(D57),D57="PG")),IF(IF(Capa!$B$6="B",0,Capa!$B$6)&gt;=C57,1,0),"")</f>
        <v>1</v>
      </c>
      <c r="C57" s="17">
        <f t="shared" si="0"/>
        <v>0</v>
      </c>
      <c r="D57" s="647" t="s">
        <v>54</v>
      </c>
      <c r="E57" s="389" t="s">
        <v>197</v>
      </c>
      <c r="F57" s="513"/>
      <c r="G57" s="468"/>
      <c r="H57" s="241"/>
      <c r="I57" s="29"/>
      <c r="J57" s="239"/>
      <c r="K57" s="471"/>
      <c r="L57" s="697" t="str">
        <f>IF(OR(AND(NOT(ISBLANK(M57)),M57&lt;IF(Capa!$B$6&lt;&gt;"B",Capa!$B$6+1,1)),AND(NOT(ISBLANK(N57)),N57&lt;IF(Capa!$B$6&lt;&gt;"B",Capa!$B$6+1,1)),AND(NOT(ISBLANK(O57)),O57&lt;IF(Capa!$B$6&lt;&gt;"B",Capa!$B$6+1,1)),AND(NOT(ISBLANK(Q57)),Q57&lt;IF(Capa!$B$6&lt;&gt;"B",Capa!$B$6+1,1)),AND(NOT(ISBLANK(R57)),R57&lt;IF(Capa!$B$6&lt;&gt;"B",Capa!$B$6+1,1)),AND(NOT(ISBLANK(S57)),S57&lt;IF(Capa!$B$6&lt;&gt;"B",Capa!$B$6+1,1))),1,"")</f>
        <v/>
      </c>
      <c r="M57" s="81"/>
      <c r="N57" s="81"/>
      <c r="O57" s="81"/>
      <c r="P57" s="81"/>
      <c r="Q57" s="81"/>
      <c r="R57" s="81"/>
      <c r="S57" s="81"/>
      <c r="T57" s="81"/>
      <c r="U57" s="58"/>
      <c r="V57" s="464"/>
      <c r="W57" s="476"/>
      <c r="X57" s="666"/>
      <c r="Y57" s="522"/>
      <c r="Z57" s="522"/>
      <c r="AA57" s="522"/>
      <c r="AB57" s="522"/>
    </row>
    <row r="58" spans="1:28" ht="45" x14ac:dyDescent="0.25">
      <c r="A58" s="646" t="s">
        <v>195</v>
      </c>
      <c r="B58" s="7">
        <f>IF(  AND(ISNUMBER(C58),OR(ISNUMBER(D58),D58="PG")),IF(IF(Capa!$B$6="B",0,Capa!$B$6)&gt;=C58,1,0),"")</f>
        <v>1</v>
      </c>
      <c r="C58" s="17">
        <f t="shared" si="0"/>
        <v>0</v>
      </c>
      <c r="D58" s="647">
        <v>104</v>
      </c>
      <c r="E58" s="352" t="s">
        <v>198</v>
      </c>
      <c r="F58" s="513"/>
      <c r="G58" s="468"/>
      <c r="H58" s="241"/>
      <c r="I58" s="29"/>
      <c r="J58" s="425">
        <f t="shared" ref="J58:J59" si="7">LEN(K58)</f>
        <v>0</v>
      </c>
      <c r="K58" s="471"/>
      <c r="L58" s="697" t="str">
        <f t="shared" ref="L58:L59" si="8">IF(OR(I58="N",I58="P"),1,"")</f>
        <v/>
      </c>
      <c r="M58" s="719"/>
      <c r="N58" s="720"/>
      <c r="O58" s="720"/>
      <c r="P58" s="720"/>
      <c r="Q58" s="720"/>
      <c r="R58" s="720"/>
      <c r="S58" s="720"/>
      <c r="T58" s="721"/>
      <c r="U58" s="71"/>
      <c r="V58" s="464"/>
      <c r="W58" s="476"/>
      <c r="X58" s="666"/>
      <c r="Y58" s="522"/>
      <c r="Z58" s="522"/>
      <c r="AA58" s="522"/>
      <c r="AB58" s="522"/>
    </row>
    <row r="59" spans="1:28" ht="79.150000000000006" customHeight="1" x14ac:dyDescent="0.25">
      <c r="A59" s="646" t="s">
        <v>195</v>
      </c>
      <c r="B59" s="7">
        <f>IF(  AND(ISNUMBER(C59),OR(ISNUMBER(D59),D59="PG")),IF(IF(Capa!$B$6="B",0,Capa!$B$6)&gt;=C59,1,0),"")</f>
        <v>1</v>
      </c>
      <c r="C59" s="17">
        <f t="shared" si="0"/>
        <v>0</v>
      </c>
      <c r="D59" s="647">
        <v>105</v>
      </c>
      <c r="E59" s="352" t="s">
        <v>199</v>
      </c>
      <c r="F59" s="513"/>
      <c r="G59" s="468"/>
      <c r="H59" s="241"/>
      <c r="I59" s="29"/>
      <c r="J59" s="425">
        <f t="shared" si="7"/>
        <v>0</v>
      </c>
      <c r="K59" s="471"/>
      <c r="L59" s="697" t="str">
        <f t="shared" si="8"/>
        <v/>
      </c>
      <c r="M59" s="719"/>
      <c r="N59" s="720"/>
      <c r="O59" s="720"/>
      <c r="P59" s="720"/>
      <c r="Q59" s="720"/>
      <c r="R59" s="720"/>
      <c r="S59" s="720"/>
      <c r="T59" s="721"/>
      <c r="U59" s="71"/>
      <c r="V59" s="464"/>
      <c r="W59" s="476"/>
      <c r="X59" s="522"/>
      <c r="Y59" s="522"/>
      <c r="Z59" s="522"/>
      <c r="AA59" s="522"/>
      <c r="AB59" s="522"/>
    </row>
    <row r="60" spans="1:28" ht="30" x14ac:dyDescent="0.25">
      <c r="A60" s="646" t="s">
        <v>195</v>
      </c>
      <c r="B60" s="7" t="str">
        <f>IF(  AND(ISNUMBER(C60),OR(ISNUMBER(D60),D60="PG")),IF(IF(Capa!$B$6="B",0,Capa!$B$6)&gt;=C60,1,0),"")</f>
        <v/>
      </c>
      <c r="C60" s="17">
        <f t="shared" si="0"/>
        <v>0</v>
      </c>
      <c r="D60" s="647" t="s">
        <v>200</v>
      </c>
      <c r="E60" s="403" t="s">
        <v>201</v>
      </c>
      <c r="F60" s="519"/>
      <c r="G60" s="495"/>
      <c r="H60" s="384"/>
      <c r="I60" s="130"/>
      <c r="J60" s="253"/>
      <c r="K60" s="493"/>
      <c r="L60" s="240"/>
      <c r="M60" s="731"/>
      <c r="N60" s="732"/>
      <c r="O60" s="732"/>
      <c r="P60" s="732"/>
      <c r="Q60" s="732"/>
      <c r="R60" s="732"/>
      <c r="S60" s="732"/>
      <c r="T60" s="733"/>
      <c r="U60" s="71"/>
      <c r="V60" s="464"/>
      <c r="W60" s="476"/>
      <c r="X60" s="522"/>
      <c r="Y60" s="522"/>
      <c r="Z60" s="522"/>
      <c r="AA60" s="522"/>
      <c r="AB60" s="522"/>
    </row>
    <row r="61" spans="1:28" ht="25.5" x14ac:dyDescent="0.25">
      <c r="A61" s="646" t="s">
        <v>195</v>
      </c>
      <c r="B61" s="7">
        <f>IF(  AND(ISNUMBER(C61),OR(ISNUMBER(D61),D61="PG")),IF(IF(Capa!$B$6="B",0,Capa!$B$6)&gt;=C61,1,0),"")</f>
        <v>1</v>
      </c>
      <c r="C61" s="17">
        <f t="shared" si="0"/>
        <v>0</v>
      </c>
      <c r="D61" s="647">
        <v>106</v>
      </c>
      <c r="E61" s="352" t="s">
        <v>202</v>
      </c>
      <c r="F61" s="513"/>
      <c r="G61" s="468"/>
      <c r="H61" s="241"/>
      <c r="I61" s="29"/>
      <c r="J61" s="425">
        <f t="shared" ref="J61:J69" si="9">LEN(K61)</f>
        <v>0</v>
      </c>
      <c r="K61" s="471"/>
      <c r="L61" s="697" t="str">
        <f t="shared" ref="L61:L69" si="10">IF(OR(I61="N",I61="P"),1,"")</f>
        <v/>
      </c>
      <c r="M61" s="719"/>
      <c r="N61" s="720"/>
      <c r="O61" s="720"/>
      <c r="P61" s="720"/>
      <c r="Q61" s="720"/>
      <c r="R61" s="720"/>
      <c r="S61" s="720"/>
      <c r="T61" s="721"/>
      <c r="U61" s="71"/>
      <c r="V61" s="464"/>
      <c r="W61" s="476"/>
      <c r="X61" s="522"/>
      <c r="Y61" s="522"/>
      <c r="Z61" s="522"/>
      <c r="AA61" s="522"/>
      <c r="AB61" s="522"/>
    </row>
    <row r="62" spans="1:28" ht="15" customHeight="1" x14ac:dyDescent="0.25">
      <c r="A62" s="646" t="s">
        <v>195</v>
      </c>
      <c r="B62" s="7">
        <f>IF(  AND(ISNUMBER(C62),OR(ISNUMBER(D62),D62="PG")),IF(IF(Capa!$B$6="B",0,Capa!$B$6)&gt;=C62,1,0),"")</f>
        <v>1</v>
      </c>
      <c r="C62" s="17">
        <f t="shared" si="0"/>
        <v>0</v>
      </c>
      <c r="D62" s="647">
        <v>107</v>
      </c>
      <c r="E62" s="398" t="s">
        <v>203</v>
      </c>
      <c r="F62" s="513"/>
      <c r="G62" s="468"/>
      <c r="H62" s="241"/>
      <c r="I62" s="29"/>
      <c r="J62" s="425">
        <f t="shared" si="9"/>
        <v>0</v>
      </c>
      <c r="K62" s="471"/>
      <c r="L62" s="697" t="str">
        <f t="shared" si="10"/>
        <v/>
      </c>
      <c r="M62" s="719"/>
      <c r="N62" s="720"/>
      <c r="O62" s="720"/>
      <c r="P62" s="720"/>
      <c r="Q62" s="720"/>
      <c r="R62" s="720"/>
      <c r="S62" s="720"/>
      <c r="T62" s="721"/>
      <c r="U62" s="71"/>
      <c r="V62" s="464"/>
      <c r="W62" s="476"/>
      <c r="X62" s="522"/>
      <c r="Y62" s="522"/>
      <c r="Z62" s="522"/>
      <c r="AA62" s="522"/>
      <c r="AB62" s="522"/>
    </row>
    <row r="63" spans="1:28" ht="25.5" x14ac:dyDescent="0.25">
      <c r="A63" s="646" t="s">
        <v>195</v>
      </c>
      <c r="B63" s="7">
        <f>IF(  AND(ISNUMBER(C63),OR(ISNUMBER(D63),D63="PG")),IF(IF(Capa!$B$6="B",0,Capa!$B$6)&gt;=C63,1,0),"")</f>
        <v>1</v>
      </c>
      <c r="C63" s="17">
        <f t="shared" si="0"/>
        <v>0</v>
      </c>
      <c r="D63" s="647">
        <v>108</v>
      </c>
      <c r="E63" s="398" t="s">
        <v>204</v>
      </c>
      <c r="F63" s="513"/>
      <c r="G63" s="468"/>
      <c r="H63" s="241"/>
      <c r="I63" s="29"/>
      <c r="J63" s="425">
        <f t="shared" si="9"/>
        <v>0</v>
      </c>
      <c r="K63" s="471"/>
      <c r="L63" s="697" t="str">
        <f t="shared" si="10"/>
        <v/>
      </c>
      <c r="M63" s="719"/>
      <c r="N63" s="720"/>
      <c r="O63" s="720"/>
      <c r="P63" s="720"/>
      <c r="Q63" s="720"/>
      <c r="R63" s="720"/>
      <c r="S63" s="720"/>
      <c r="T63" s="721"/>
      <c r="U63" s="71"/>
      <c r="V63" s="464"/>
      <c r="W63" s="476"/>
      <c r="X63" s="522"/>
      <c r="Y63" s="522"/>
      <c r="Z63" s="522"/>
      <c r="AA63" s="522"/>
      <c r="AB63" s="522"/>
    </row>
    <row r="64" spans="1:28" ht="25.5" x14ac:dyDescent="0.25">
      <c r="A64" s="646" t="s">
        <v>195</v>
      </c>
      <c r="B64" s="7">
        <f>IF(  AND(ISNUMBER(C64),OR(ISNUMBER(D64),D64="PG")),IF(IF(Capa!$B$6="B",0,Capa!$B$6)&gt;=C64,1,0),"")</f>
        <v>1</v>
      </c>
      <c r="C64" s="17">
        <f t="shared" si="0"/>
        <v>0</v>
      </c>
      <c r="D64" s="647">
        <v>109</v>
      </c>
      <c r="E64" s="398" t="s">
        <v>205</v>
      </c>
      <c r="F64" s="513"/>
      <c r="G64" s="468"/>
      <c r="H64" s="241"/>
      <c r="I64" s="29"/>
      <c r="J64" s="425">
        <f t="shared" si="9"/>
        <v>0</v>
      </c>
      <c r="K64" s="471"/>
      <c r="L64" s="697" t="str">
        <f t="shared" si="10"/>
        <v/>
      </c>
      <c r="M64" s="719"/>
      <c r="N64" s="720"/>
      <c r="O64" s="720"/>
      <c r="P64" s="720"/>
      <c r="Q64" s="720"/>
      <c r="R64" s="720"/>
      <c r="S64" s="720"/>
      <c r="T64" s="721"/>
      <c r="U64" s="71"/>
      <c r="V64" s="464"/>
      <c r="W64" s="476"/>
      <c r="X64" s="522"/>
      <c r="Y64" s="522"/>
      <c r="Z64" s="522"/>
      <c r="AA64" s="522"/>
      <c r="AB64" s="522"/>
    </row>
    <row r="65" spans="1:28" ht="25.5" x14ac:dyDescent="0.25">
      <c r="A65" s="646" t="s">
        <v>195</v>
      </c>
      <c r="B65" s="7">
        <f>IF(  AND(ISNUMBER(C65),OR(ISNUMBER(D65),D65="PG")),IF(IF(Capa!$B$6="B",0,Capa!$B$6)&gt;=C65,1,0),"")</f>
        <v>1</v>
      </c>
      <c r="C65" s="17">
        <f t="shared" si="0"/>
        <v>0</v>
      </c>
      <c r="D65" s="647">
        <v>110</v>
      </c>
      <c r="E65" s="352" t="s">
        <v>206</v>
      </c>
      <c r="F65" s="513"/>
      <c r="G65" s="468"/>
      <c r="H65" s="241"/>
      <c r="I65" s="29"/>
      <c r="J65" s="425">
        <f t="shared" si="9"/>
        <v>0</v>
      </c>
      <c r="K65" s="471"/>
      <c r="L65" s="697" t="str">
        <f t="shared" si="10"/>
        <v/>
      </c>
      <c r="M65" s="719"/>
      <c r="N65" s="720"/>
      <c r="O65" s="720"/>
      <c r="P65" s="720"/>
      <c r="Q65" s="720"/>
      <c r="R65" s="720"/>
      <c r="S65" s="720"/>
      <c r="T65" s="721"/>
      <c r="U65" s="71"/>
      <c r="V65" s="464"/>
      <c r="W65" s="476"/>
      <c r="X65" s="522"/>
      <c r="Y65" s="522"/>
      <c r="Z65" s="522"/>
      <c r="AA65" s="522"/>
      <c r="AB65" s="522"/>
    </row>
    <row r="66" spans="1:28" ht="25.5" x14ac:dyDescent="0.25">
      <c r="A66" s="646" t="s">
        <v>195</v>
      </c>
      <c r="B66" s="7">
        <f>IF(  AND(ISNUMBER(C66),OR(ISNUMBER(D66),D66="PG")),IF(IF(Capa!$B$6="B",0,Capa!$B$6)&gt;=C66,1,0),"")</f>
        <v>1</v>
      </c>
      <c r="C66" s="17">
        <f t="shared" si="0"/>
        <v>0</v>
      </c>
      <c r="D66" s="647">
        <v>111</v>
      </c>
      <c r="E66" s="352" t="s">
        <v>207</v>
      </c>
      <c r="F66" s="513"/>
      <c r="G66" s="468"/>
      <c r="H66" s="241"/>
      <c r="I66" s="29"/>
      <c r="J66" s="425">
        <f t="shared" si="9"/>
        <v>0</v>
      </c>
      <c r="K66" s="471"/>
      <c r="L66" s="697" t="str">
        <f t="shared" si="10"/>
        <v/>
      </c>
      <c r="M66" s="719"/>
      <c r="N66" s="720"/>
      <c r="O66" s="720"/>
      <c r="P66" s="720"/>
      <c r="Q66" s="720"/>
      <c r="R66" s="720"/>
      <c r="S66" s="720"/>
      <c r="T66" s="721"/>
      <c r="U66" s="71"/>
      <c r="V66" s="464"/>
      <c r="W66" s="476"/>
      <c r="X66" s="522"/>
      <c r="Y66" s="522"/>
      <c r="Z66" s="522"/>
      <c r="AA66" s="522"/>
      <c r="AB66" s="522"/>
    </row>
    <row r="67" spans="1:28" ht="7.15" customHeight="1" x14ac:dyDescent="0.25">
      <c r="A67" s="646" t="s">
        <v>195</v>
      </c>
      <c r="B67" s="7" t="str">
        <f>IF(  AND(ISNUMBER(C67),OR(ISNUMBER(D67),D67="PG")),IF(IF(Capa!$B$6="B",0,Capa!$B$6)&gt;=C67,1,0),"")</f>
        <v/>
      </c>
      <c r="C67" s="17">
        <f t="shared" si="0"/>
        <v>1</v>
      </c>
      <c r="D67" s="647" t="s">
        <v>62</v>
      </c>
      <c r="E67" s="352"/>
      <c r="F67" s="513"/>
      <c r="G67" s="468"/>
      <c r="H67" s="241"/>
      <c r="I67" s="29"/>
      <c r="J67" s="425">
        <f t="shared" si="9"/>
        <v>0</v>
      </c>
      <c r="K67" s="471"/>
      <c r="L67" s="697" t="str">
        <f t="shared" si="10"/>
        <v/>
      </c>
      <c r="M67" s="719"/>
      <c r="N67" s="720"/>
      <c r="O67" s="720"/>
      <c r="P67" s="720"/>
      <c r="Q67" s="720"/>
      <c r="R67" s="720"/>
      <c r="S67" s="720"/>
      <c r="T67" s="721"/>
      <c r="U67" s="71"/>
      <c r="V67" s="464"/>
      <c r="W67" s="476"/>
      <c r="X67" s="522"/>
      <c r="Y67" s="522"/>
      <c r="Z67" s="522"/>
      <c r="AA67" s="522"/>
      <c r="AB67" s="522"/>
    </row>
    <row r="68" spans="1:28" ht="60" x14ac:dyDescent="0.25">
      <c r="A68" s="646" t="s">
        <v>195</v>
      </c>
      <c r="B68" s="7">
        <f>IF(  AND(ISNUMBER(C68),OR(ISNUMBER(D68),D68="PG")),IF(IF(Capa!$B$6="B",0,Capa!$B$6)&gt;=C68,1,0),"")</f>
        <v>0</v>
      </c>
      <c r="C68" s="17">
        <f t="shared" si="0"/>
        <v>1</v>
      </c>
      <c r="D68" s="647">
        <v>112</v>
      </c>
      <c r="E68" s="352" t="s">
        <v>208</v>
      </c>
      <c r="F68" s="513"/>
      <c r="G68" s="468"/>
      <c r="H68" s="241"/>
      <c r="I68" s="29"/>
      <c r="J68" s="425">
        <f t="shared" si="9"/>
        <v>0</v>
      </c>
      <c r="K68" s="471"/>
      <c r="L68" s="697" t="str">
        <f t="shared" si="10"/>
        <v/>
      </c>
      <c r="M68" s="719"/>
      <c r="N68" s="720"/>
      <c r="O68" s="720"/>
      <c r="P68" s="720"/>
      <c r="Q68" s="720"/>
      <c r="R68" s="720"/>
      <c r="S68" s="720"/>
      <c r="T68" s="721"/>
      <c r="U68" s="71"/>
      <c r="V68" s="464"/>
      <c r="W68" s="476"/>
      <c r="X68" s="522"/>
      <c r="Y68" s="522"/>
      <c r="Z68" s="522"/>
      <c r="AA68" s="522"/>
      <c r="AB68" s="522"/>
    </row>
    <row r="69" spans="1:28" ht="60" x14ac:dyDescent="0.25">
      <c r="A69" s="646" t="s">
        <v>195</v>
      </c>
      <c r="B69" s="7">
        <f>IF(  AND(ISNUMBER(C69),OR(ISNUMBER(D69),D69="PG")),IF(IF(Capa!$B$6="B",0,Capa!$B$6)&gt;=C69,1,0),"")</f>
        <v>0</v>
      </c>
      <c r="C69" s="17">
        <f t="shared" si="0"/>
        <v>1</v>
      </c>
      <c r="D69" s="647">
        <v>113</v>
      </c>
      <c r="E69" s="352" t="s">
        <v>209</v>
      </c>
      <c r="F69" s="513"/>
      <c r="G69" s="468"/>
      <c r="H69" s="241"/>
      <c r="I69" s="29"/>
      <c r="J69" s="425">
        <f t="shared" si="9"/>
        <v>0</v>
      </c>
      <c r="K69" s="471"/>
      <c r="L69" s="697" t="str">
        <f t="shared" si="10"/>
        <v/>
      </c>
      <c r="M69" s="719"/>
      <c r="N69" s="720"/>
      <c r="O69" s="720"/>
      <c r="P69" s="720"/>
      <c r="Q69" s="720"/>
      <c r="R69" s="720"/>
      <c r="S69" s="720"/>
      <c r="T69" s="721"/>
      <c r="U69" s="71"/>
      <c r="V69" s="464"/>
      <c r="W69" s="476"/>
      <c r="X69" s="522"/>
      <c r="Y69" s="522"/>
      <c r="Z69" s="522"/>
      <c r="AA69" s="522"/>
      <c r="AB69" s="522"/>
    </row>
    <row r="70" spans="1:28" ht="30" x14ac:dyDescent="0.25">
      <c r="A70" s="646" t="s">
        <v>195</v>
      </c>
      <c r="B70" s="7" t="str">
        <f>IF(  AND(ISNUMBER(C70),OR(ISNUMBER(D70),D70="PG")),IF(IF(Capa!$B$6="B",0,Capa!$B$6)&gt;=C70,1,0),"")</f>
        <v/>
      </c>
      <c r="C70" s="17">
        <f t="shared" si="0"/>
        <v>1</v>
      </c>
      <c r="D70" s="647" t="s">
        <v>200</v>
      </c>
      <c r="E70" s="403" t="s">
        <v>210</v>
      </c>
      <c r="F70" s="519"/>
      <c r="G70" s="495"/>
      <c r="H70" s="384"/>
      <c r="I70" s="130"/>
      <c r="J70" s="235"/>
      <c r="K70" s="493"/>
      <c r="L70" s="240"/>
      <c r="M70" s="731"/>
      <c r="N70" s="732"/>
      <c r="O70" s="732"/>
      <c r="P70" s="732"/>
      <c r="Q70" s="732"/>
      <c r="R70" s="732"/>
      <c r="S70" s="732"/>
      <c r="T70" s="733"/>
      <c r="U70" s="71"/>
      <c r="V70" s="464"/>
      <c r="W70" s="476"/>
      <c r="X70" s="522"/>
      <c r="Y70" s="522"/>
      <c r="Z70" s="522"/>
      <c r="AA70" s="522"/>
      <c r="AB70" s="522"/>
    </row>
    <row r="71" spans="1:28" ht="16.149999999999999" customHeight="1" x14ac:dyDescent="0.25">
      <c r="A71" s="646" t="s">
        <v>195</v>
      </c>
      <c r="B71" s="7">
        <f>IF(  AND(ISNUMBER(C71),OR(ISNUMBER(D71),D71="PG")),IF(IF(Capa!$B$6="B",0,Capa!$B$6)&gt;=C71,1,0),"")</f>
        <v>0</v>
      </c>
      <c r="C71" s="17">
        <f t="shared" si="0"/>
        <v>1</v>
      </c>
      <c r="D71" s="647">
        <v>114</v>
      </c>
      <c r="E71" s="398" t="s">
        <v>211</v>
      </c>
      <c r="F71" s="513"/>
      <c r="G71" s="468"/>
      <c r="H71" s="241"/>
      <c r="I71" s="29"/>
      <c r="J71" s="425">
        <f t="shared" ref="J71:J78" si="11">LEN(K71)</f>
        <v>0</v>
      </c>
      <c r="K71" s="471"/>
      <c r="L71" s="697" t="str">
        <f t="shared" ref="L71:L78" si="12">IF(OR(I71="N",I71="P"),1,"")</f>
        <v/>
      </c>
      <c r="M71" s="719"/>
      <c r="N71" s="720"/>
      <c r="O71" s="720"/>
      <c r="P71" s="720"/>
      <c r="Q71" s="720"/>
      <c r="R71" s="720"/>
      <c r="S71" s="720"/>
      <c r="T71" s="721"/>
      <c r="U71" s="71"/>
      <c r="V71" s="464"/>
      <c r="W71" s="476"/>
      <c r="X71" s="522"/>
      <c r="Y71" s="522"/>
      <c r="Z71" s="522"/>
      <c r="AA71" s="522"/>
      <c r="AB71" s="522"/>
    </row>
    <row r="72" spans="1:28" ht="25.5" x14ac:dyDescent="0.25">
      <c r="A72" s="646" t="s">
        <v>195</v>
      </c>
      <c r="B72" s="7">
        <f>IF(  AND(ISNUMBER(C72),OR(ISNUMBER(D72),D72="PG")),IF(IF(Capa!$B$6="B",0,Capa!$B$6)&gt;=C72,1,0),"")</f>
        <v>0</v>
      </c>
      <c r="C72" s="17">
        <f t="shared" ref="C72:C135" si="13">IF(ISBLANK(D72),"",IF(ISERR(SEARCH(D72&amp;"\","&lt;B&gt;\&lt;1&gt;\&lt;2&gt;\&lt;3&gt;\")),IF(AND(NOT(ISBLANK(C71)),C71&lt;=3),C71,""),
IF(SEARCH(D72&amp;"\","&lt;B&gt;\&lt;1&gt;\&lt;2&gt;\&lt;3&gt;\")=1,0,IF(SEARCH(D72&amp;"\","&lt;B&gt;\&lt;1&gt;\&lt;2&gt;\&lt;3&gt;\")=5,1,IF(SEARCH(D72&amp;"\","&lt;B&gt;\&lt;1&gt;\&lt;2&gt;\&lt;3&gt;\")=9,2,IF(SEARCH(D72&amp;"\","&lt;B&gt;\&lt;1&gt;\&lt;2&gt;\&lt;3&gt;\")=13,3,""))))))</f>
        <v>1</v>
      </c>
      <c r="D72" s="647">
        <v>115</v>
      </c>
      <c r="E72" s="398" t="s">
        <v>212</v>
      </c>
      <c r="F72" s="513"/>
      <c r="G72" s="468"/>
      <c r="H72" s="241"/>
      <c r="I72" s="29"/>
      <c r="J72" s="425">
        <f t="shared" si="11"/>
        <v>0</v>
      </c>
      <c r="K72" s="471"/>
      <c r="L72" s="697" t="str">
        <f t="shared" si="12"/>
        <v/>
      </c>
      <c r="M72" s="719"/>
      <c r="N72" s="720"/>
      <c r="O72" s="720"/>
      <c r="P72" s="720"/>
      <c r="Q72" s="720"/>
      <c r="R72" s="720"/>
      <c r="S72" s="720"/>
      <c r="T72" s="721"/>
      <c r="U72" s="71"/>
      <c r="V72" s="464"/>
      <c r="W72" s="476"/>
      <c r="X72" s="522"/>
      <c r="Y72" s="522"/>
      <c r="Z72" s="522"/>
      <c r="AA72" s="522"/>
      <c r="AB72" s="522"/>
    </row>
    <row r="73" spans="1:28" ht="3.6" customHeight="1" x14ac:dyDescent="0.25">
      <c r="A73" s="646" t="s">
        <v>195</v>
      </c>
      <c r="B73" s="7" t="str">
        <f>IF(  AND(ISNUMBER(C73),OR(ISNUMBER(D73),D73="PG")),IF(IF(Capa!$B$6="B",0,Capa!$B$6)&gt;=C73,1,0),"")</f>
        <v/>
      </c>
      <c r="C73" s="17">
        <f t="shared" si="13"/>
        <v>2</v>
      </c>
      <c r="D73" s="647" t="s">
        <v>64</v>
      </c>
      <c r="E73" s="352"/>
      <c r="F73" s="513"/>
      <c r="G73" s="468"/>
      <c r="H73" s="241"/>
      <c r="I73" s="29"/>
      <c r="J73" s="425">
        <f t="shared" si="11"/>
        <v>0</v>
      </c>
      <c r="K73" s="471"/>
      <c r="L73" s="697" t="str">
        <f t="shared" si="12"/>
        <v/>
      </c>
      <c r="M73" s="719"/>
      <c r="N73" s="720"/>
      <c r="O73" s="720"/>
      <c r="P73" s="720"/>
      <c r="Q73" s="720"/>
      <c r="R73" s="720"/>
      <c r="S73" s="720"/>
      <c r="T73" s="721"/>
      <c r="U73" s="71"/>
      <c r="V73" s="464"/>
      <c r="W73" s="476"/>
      <c r="X73" s="522"/>
      <c r="Y73" s="522"/>
      <c r="Z73" s="522"/>
      <c r="AA73" s="522"/>
      <c r="AB73" s="522"/>
    </row>
    <row r="74" spans="1:28" ht="45" x14ac:dyDescent="0.25">
      <c r="A74" s="646" t="s">
        <v>195</v>
      </c>
      <c r="B74" s="7">
        <f>IF(  AND(ISNUMBER(C74),OR(ISNUMBER(D74),D74="PG")),IF(IF(Capa!$B$6="B",0,Capa!$B$6)&gt;=C74,1,0),"")</f>
        <v>0</v>
      </c>
      <c r="C74" s="17">
        <f t="shared" si="13"/>
        <v>2</v>
      </c>
      <c r="D74" s="647">
        <v>116</v>
      </c>
      <c r="E74" s="352" t="s">
        <v>213</v>
      </c>
      <c r="F74" s="513"/>
      <c r="G74" s="468"/>
      <c r="H74" s="241"/>
      <c r="I74" s="29"/>
      <c r="J74" s="425">
        <f t="shared" si="11"/>
        <v>0</v>
      </c>
      <c r="K74" s="471"/>
      <c r="L74" s="697" t="str">
        <f t="shared" si="12"/>
        <v/>
      </c>
      <c r="M74" s="719"/>
      <c r="N74" s="720"/>
      <c r="O74" s="720"/>
      <c r="P74" s="720"/>
      <c r="Q74" s="720"/>
      <c r="R74" s="720"/>
      <c r="S74" s="720"/>
      <c r="T74" s="721"/>
      <c r="U74" s="71"/>
      <c r="V74" s="464"/>
      <c r="W74" s="476"/>
      <c r="X74" s="522"/>
      <c r="Y74" s="522"/>
      <c r="Z74" s="522"/>
      <c r="AA74" s="522"/>
      <c r="AB74" s="522"/>
    </row>
    <row r="75" spans="1:28" ht="60" x14ac:dyDescent="0.25">
      <c r="A75" s="646" t="s">
        <v>195</v>
      </c>
      <c r="B75" s="7">
        <f>IF(  AND(ISNUMBER(C75),OR(ISNUMBER(D75),D75="PG")),IF(IF(Capa!$B$6="B",0,Capa!$B$6)&gt;=C75,1,0),"")</f>
        <v>0</v>
      </c>
      <c r="C75" s="17">
        <f t="shared" si="13"/>
        <v>2</v>
      </c>
      <c r="D75" s="647">
        <v>117</v>
      </c>
      <c r="E75" s="352" t="s">
        <v>214</v>
      </c>
      <c r="F75" s="513"/>
      <c r="G75" s="468"/>
      <c r="H75" s="241"/>
      <c r="I75" s="29"/>
      <c r="J75" s="425">
        <f t="shared" si="11"/>
        <v>0</v>
      </c>
      <c r="K75" s="471"/>
      <c r="L75" s="697" t="str">
        <f t="shared" si="12"/>
        <v/>
      </c>
      <c r="M75" s="719"/>
      <c r="N75" s="720"/>
      <c r="O75" s="720"/>
      <c r="P75" s="720"/>
      <c r="Q75" s="720"/>
      <c r="R75" s="720"/>
      <c r="S75" s="720"/>
      <c r="T75" s="721"/>
      <c r="U75" s="71"/>
      <c r="V75" s="464"/>
      <c r="W75" s="476"/>
      <c r="X75" s="522"/>
      <c r="Y75" s="522"/>
      <c r="Z75" s="522"/>
      <c r="AA75" s="522"/>
      <c r="AB75" s="522"/>
    </row>
    <row r="76" spans="1:28" ht="60" x14ac:dyDescent="0.25">
      <c r="A76" s="646" t="s">
        <v>195</v>
      </c>
      <c r="B76" s="7">
        <f>IF(  AND(ISNUMBER(C76),OR(ISNUMBER(D76),D76="PG")),IF(IF(Capa!$B$6="B",0,Capa!$B$6)&gt;=C76,1,0),"")</f>
        <v>0</v>
      </c>
      <c r="C76" s="17">
        <f t="shared" si="13"/>
        <v>2</v>
      </c>
      <c r="D76" s="647">
        <v>118</v>
      </c>
      <c r="E76" s="352" t="s">
        <v>215</v>
      </c>
      <c r="F76" s="513"/>
      <c r="G76" s="468"/>
      <c r="H76" s="241"/>
      <c r="I76" s="29"/>
      <c r="J76" s="425">
        <f t="shared" si="11"/>
        <v>0</v>
      </c>
      <c r="K76" s="471"/>
      <c r="L76" s="697" t="str">
        <f t="shared" si="12"/>
        <v/>
      </c>
      <c r="M76" s="719"/>
      <c r="N76" s="720"/>
      <c r="O76" s="720"/>
      <c r="P76" s="720"/>
      <c r="Q76" s="720"/>
      <c r="R76" s="720"/>
      <c r="S76" s="720"/>
      <c r="T76" s="721"/>
      <c r="U76" s="71"/>
      <c r="V76" s="464"/>
      <c r="W76" s="476"/>
      <c r="X76" s="522"/>
      <c r="Y76" s="522"/>
      <c r="Z76" s="522"/>
      <c r="AA76" s="522"/>
      <c r="AB76" s="522"/>
    </row>
    <row r="77" spans="1:28" ht="75" x14ac:dyDescent="0.25">
      <c r="A77" s="646" t="s">
        <v>195</v>
      </c>
      <c r="B77" s="7">
        <f>IF(  AND(ISNUMBER(C77),OR(ISNUMBER(D77),D77="PG")),IF(IF(Capa!$B$6="B",0,Capa!$B$6)&gt;=C77,1,0),"")</f>
        <v>0</v>
      </c>
      <c r="C77" s="17">
        <f t="shared" si="13"/>
        <v>2</v>
      </c>
      <c r="D77" s="647">
        <v>119</v>
      </c>
      <c r="E77" s="352" t="s">
        <v>216</v>
      </c>
      <c r="F77" s="513"/>
      <c r="G77" s="468"/>
      <c r="H77" s="241"/>
      <c r="I77" s="29"/>
      <c r="J77" s="425">
        <f t="shared" si="11"/>
        <v>0</v>
      </c>
      <c r="K77" s="471"/>
      <c r="L77" s="697" t="str">
        <f t="shared" si="12"/>
        <v/>
      </c>
      <c r="M77" s="719"/>
      <c r="N77" s="720"/>
      <c r="O77" s="720"/>
      <c r="P77" s="720"/>
      <c r="Q77" s="720"/>
      <c r="R77" s="720"/>
      <c r="S77" s="720"/>
      <c r="T77" s="721"/>
      <c r="U77" s="71"/>
      <c r="V77" s="464"/>
      <c r="W77" s="476"/>
      <c r="X77" s="522"/>
      <c r="Y77" s="522"/>
      <c r="Z77" s="522"/>
      <c r="AA77" s="522"/>
      <c r="AB77" s="522"/>
    </row>
    <row r="78" spans="1:28" ht="60" x14ac:dyDescent="0.25">
      <c r="A78" s="646" t="s">
        <v>195</v>
      </c>
      <c r="B78" s="7">
        <f>IF(  AND(ISNUMBER(C78),OR(ISNUMBER(D78),D78="PG")),IF(IF(Capa!$B$6="B",0,Capa!$B$6)&gt;=C78,1,0),"")</f>
        <v>0</v>
      </c>
      <c r="C78" s="17">
        <f t="shared" si="13"/>
        <v>2</v>
      </c>
      <c r="D78" s="647">
        <v>120</v>
      </c>
      <c r="E78" s="352" t="s">
        <v>217</v>
      </c>
      <c r="F78" s="513"/>
      <c r="G78" s="468"/>
      <c r="H78" s="241"/>
      <c r="I78" s="29"/>
      <c r="J78" s="425">
        <f t="shared" si="11"/>
        <v>0</v>
      </c>
      <c r="K78" s="471"/>
      <c r="L78" s="697" t="str">
        <f t="shared" si="12"/>
        <v/>
      </c>
      <c r="M78" s="719"/>
      <c r="N78" s="720"/>
      <c r="O78" s="720"/>
      <c r="P78" s="720"/>
      <c r="Q78" s="720"/>
      <c r="R78" s="720"/>
      <c r="S78" s="720"/>
      <c r="T78" s="721"/>
      <c r="U78" s="71"/>
      <c r="V78" s="464"/>
      <c r="W78" s="476"/>
      <c r="X78" s="522"/>
      <c r="Y78" s="522"/>
      <c r="Z78" s="522"/>
      <c r="AA78" s="522"/>
      <c r="AB78" s="522"/>
    </row>
    <row r="79" spans="1:28" ht="30" x14ac:dyDescent="0.25">
      <c r="A79" s="646" t="s">
        <v>195</v>
      </c>
      <c r="B79" s="7" t="str">
        <f>IF(  AND(ISNUMBER(C79),OR(ISNUMBER(D79),D79="PG")),IF(IF(Capa!$B$6="B",0,Capa!$B$6)&gt;=C79,1,0),"")</f>
        <v/>
      </c>
      <c r="C79" s="17">
        <f t="shared" si="13"/>
        <v>2</v>
      </c>
      <c r="D79" s="647" t="s">
        <v>200</v>
      </c>
      <c r="E79" s="403" t="s">
        <v>210</v>
      </c>
      <c r="F79" s="519"/>
      <c r="G79" s="495"/>
      <c r="H79" s="384"/>
      <c r="I79" s="130"/>
      <c r="J79" s="235"/>
      <c r="K79" s="493"/>
      <c r="L79" s="240"/>
      <c r="M79" s="731"/>
      <c r="N79" s="732"/>
      <c r="O79" s="732"/>
      <c r="P79" s="732"/>
      <c r="Q79" s="732"/>
      <c r="R79" s="732"/>
      <c r="S79" s="732"/>
      <c r="T79" s="733"/>
      <c r="U79" s="71"/>
      <c r="V79" s="464"/>
      <c r="W79" s="476"/>
      <c r="X79" s="522"/>
      <c r="Y79" s="522"/>
      <c r="Z79" s="522"/>
      <c r="AA79" s="522"/>
      <c r="AB79" s="522"/>
    </row>
    <row r="80" spans="1:28" ht="30" x14ac:dyDescent="0.25">
      <c r="A80" s="646" t="s">
        <v>195</v>
      </c>
      <c r="B80" s="7">
        <f>IF(  AND(ISNUMBER(C80),OR(ISNUMBER(D80),D80="PG")),IF(IF(Capa!$B$6="B",0,Capa!$B$6)&gt;=C80,1,0),"")</f>
        <v>0</v>
      </c>
      <c r="C80" s="17">
        <f t="shared" si="13"/>
        <v>2</v>
      </c>
      <c r="D80" s="647">
        <v>121</v>
      </c>
      <c r="E80" s="352" t="s">
        <v>218</v>
      </c>
      <c r="F80" s="513"/>
      <c r="G80" s="468"/>
      <c r="H80" s="241"/>
      <c r="I80" s="29"/>
      <c r="J80" s="425">
        <f t="shared" ref="J80:J82" si="14">LEN(K80)</f>
        <v>0</v>
      </c>
      <c r="K80" s="471"/>
      <c r="L80" s="697" t="str">
        <f t="shared" ref="L80:L82" si="15">IF(OR(I80="N",I80="P"),1,"")</f>
        <v/>
      </c>
      <c r="M80" s="719"/>
      <c r="N80" s="720"/>
      <c r="O80" s="720"/>
      <c r="P80" s="720"/>
      <c r="Q80" s="720"/>
      <c r="R80" s="720"/>
      <c r="S80" s="720"/>
      <c r="T80" s="721"/>
      <c r="U80" s="71"/>
      <c r="V80" s="464"/>
      <c r="W80" s="476"/>
      <c r="X80" s="522"/>
      <c r="Y80" s="522"/>
      <c r="Z80" s="522"/>
      <c r="AA80" s="522"/>
      <c r="AB80" s="522"/>
    </row>
    <row r="81" spans="1:28" ht="25.5" x14ac:dyDescent="0.25">
      <c r="A81" s="646" t="s">
        <v>195</v>
      </c>
      <c r="B81" s="7">
        <f>IF(  AND(ISNUMBER(C81),OR(ISNUMBER(D81),D81="PG")),IF(IF(Capa!$B$6="B",0,Capa!$B$6)&gt;=C81,1,0),"")</f>
        <v>0</v>
      </c>
      <c r="C81" s="17">
        <f t="shared" si="13"/>
        <v>2</v>
      </c>
      <c r="D81" s="647">
        <v>122</v>
      </c>
      <c r="E81" s="352" t="s">
        <v>219</v>
      </c>
      <c r="F81" s="513"/>
      <c r="G81" s="468"/>
      <c r="H81" s="241"/>
      <c r="I81" s="29"/>
      <c r="J81" s="425">
        <f t="shared" si="14"/>
        <v>0</v>
      </c>
      <c r="K81" s="471"/>
      <c r="L81" s="697" t="str">
        <f t="shared" si="15"/>
        <v/>
      </c>
      <c r="M81" s="719"/>
      <c r="N81" s="720"/>
      <c r="O81" s="720"/>
      <c r="P81" s="720"/>
      <c r="Q81" s="720"/>
      <c r="R81" s="720"/>
      <c r="S81" s="720"/>
      <c r="T81" s="721"/>
      <c r="U81" s="71"/>
      <c r="V81" s="464"/>
      <c r="W81" s="476"/>
      <c r="X81" s="522"/>
      <c r="Y81" s="522"/>
      <c r="Z81" s="522"/>
      <c r="AA81" s="522"/>
      <c r="AB81" s="522"/>
    </row>
    <row r="82" spans="1:28" ht="45" x14ac:dyDescent="0.25">
      <c r="A82" s="646" t="s">
        <v>195</v>
      </c>
      <c r="B82" s="7">
        <f>IF(  AND(ISNUMBER(C82),OR(ISNUMBER(D82),D82="PG")),IF(IF(Capa!$B$6="B",0,Capa!$B$6)&gt;=C82,1,0),"")</f>
        <v>0</v>
      </c>
      <c r="C82" s="17">
        <f t="shared" si="13"/>
        <v>2</v>
      </c>
      <c r="D82" s="647">
        <v>123</v>
      </c>
      <c r="E82" s="352" t="s">
        <v>220</v>
      </c>
      <c r="F82" s="513"/>
      <c r="G82" s="468"/>
      <c r="H82" s="241"/>
      <c r="I82" s="29"/>
      <c r="J82" s="425">
        <f t="shared" si="14"/>
        <v>0</v>
      </c>
      <c r="K82" s="471"/>
      <c r="L82" s="697" t="str">
        <f t="shared" si="15"/>
        <v/>
      </c>
      <c r="M82" s="719"/>
      <c r="N82" s="720"/>
      <c r="O82" s="720"/>
      <c r="P82" s="720"/>
      <c r="Q82" s="720"/>
      <c r="R82" s="720"/>
      <c r="S82" s="720"/>
      <c r="T82" s="721"/>
      <c r="U82" s="71"/>
      <c r="V82" s="464"/>
      <c r="W82" s="476"/>
      <c r="X82" s="666"/>
      <c r="Y82" s="522"/>
      <c r="Z82" s="522"/>
      <c r="AA82" s="522"/>
      <c r="AB82" s="522"/>
    </row>
    <row r="83" spans="1:28" ht="4.9000000000000004" customHeight="1" x14ac:dyDescent="0.25">
      <c r="A83" s="646" t="s">
        <v>195</v>
      </c>
      <c r="B83" s="7" t="str">
        <f>IF(  AND(ISNUMBER(C83),OR(ISNUMBER(D83),D83="PG")),IF(IF(Capa!$B$6="B",0,Capa!$B$6)&gt;=C83,1,0),"")</f>
        <v/>
      </c>
      <c r="C83" s="17">
        <f t="shared" si="13"/>
        <v>3</v>
      </c>
      <c r="D83" s="647" t="s">
        <v>70</v>
      </c>
      <c r="E83" s="352"/>
      <c r="F83" s="513"/>
      <c r="G83" s="468"/>
      <c r="H83" s="241"/>
      <c r="I83" s="29"/>
      <c r="J83" s="425">
        <f t="shared" ref="J83" si="16">LEN(K83)</f>
        <v>0</v>
      </c>
      <c r="K83" s="471"/>
      <c r="L83" s="240"/>
      <c r="M83" s="731"/>
      <c r="N83" s="732"/>
      <c r="O83" s="732"/>
      <c r="P83" s="732"/>
      <c r="Q83" s="732"/>
      <c r="R83" s="732"/>
      <c r="S83" s="732"/>
      <c r="T83" s="733"/>
      <c r="U83" s="71"/>
      <c r="V83" s="464"/>
      <c r="W83" s="476"/>
      <c r="X83" s="522"/>
      <c r="Y83" s="522"/>
      <c r="Z83" s="522"/>
      <c r="AA83" s="522"/>
      <c r="AB83" s="522"/>
    </row>
    <row r="84" spans="1:28" ht="30" x14ac:dyDescent="0.25">
      <c r="A84" s="646" t="s">
        <v>195</v>
      </c>
      <c r="B84" s="7" t="str">
        <f>IF(  AND(ISNUMBER(C84),OR(ISNUMBER(D84),D84="PG")),IF(IF(Capa!$B$6="B",0,Capa!$B$6)&gt;=C84,1,0),"")</f>
        <v/>
      </c>
      <c r="C84" s="17">
        <f t="shared" si="13"/>
        <v>3</v>
      </c>
      <c r="D84" s="647" t="s">
        <v>200</v>
      </c>
      <c r="E84" s="650" t="s">
        <v>210</v>
      </c>
      <c r="F84" s="519"/>
      <c r="G84" s="495"/>
      <c r="H84" s="384"/>
      <c r="I84" s="130"/>
      <c r="J84" s="235"/>
      <c r="K84" s="493"/>
      <c r="L84" s="240"/>
      <c r="M84" s="731"/>
      <c r="N84" s="732"/>
      <c r="O84" s="732"/>
      <c r="P84" s="732"/>
      <c r="Q84" s="732"/>
      <c r="R84" s="732"/>
      <c r="S84" s="732"/>
      <c r="T84" s="733"/>
      <c r="U84" s="71"/>
      <c r="V84" s="464"/>
      <c r="W84" s="476"/>
      <c r="X84" s="522"/>
      <c r="Y84" s="522"/>
      <c r="Z84" s="522"/>
      <c r="AA84" s="522"/>
      <c r="AB84" s="522"/>
    </row>
    <row r="85" spans="1:28" ht="19.899999999999999" customHeight="1" x14ac:dyDescent="0.25">
      <c r="A85" s="646" t="s">
        <v>195</v>
      </c>
      <c r="B85" s="7">
        <f>IF(  AND(ISNUMBER(C85),OR(ISNUMBER(D85),D85="PG")),IF(IF(Capa!$B$6="B",0,Capa!$B$6)&gt;=C85,1,0),"")</f>
        <v>0</v>
      </c>
      <c r="C85" s="17">
        <f t="shared" si="13"/>
        <v>3</v>
      </c>
      <c r="D85" s="647">
        <v>124</v>
      </c>
      <c r="E85" s="398" t="s">
        <v>221</v>
      </c>
      <c r="F85" s="513"/>
      <c r="G85" s="468"/>
      <c r="H85" s="241"/>
      <c r="I85" s="29"/>
      <c r="J85" s="425">
        <f t="shared" ref="J85:J89" si="17">LEN(K85)</f>
        <v>0</v>
      </c>
      <c r="K85" s="471"/>
      <c r="L85" s="697" t="str">
        <f t="shared" ref="L85:L89" si="18">IF(OR(I85="N",I85="P"),1,"")</f>
        <v/>
      </c>
      <c r="M85" s="719"/>
      <c r="N85" s="720"/>
      <c r="O85" s="720"/>
      <c r="P85" s="720"/>
      <c r="Q85" s="720"/>
      <c r="R85" s="720"/>
      <c r="S85" s="720"/>
      <c r="T85" s="721"/>
      <c r="U85" s="71"/>
      <c r="V85" s="464"/>
      <c r="W85" s="476"/>
      <c r="X85" s="522"/>
      <c r="Y85" s="522"/>
      <c r="Z85" s="522"/>
      <c r="AA85" s="522"/>
      <c r="AB85" s="522"/>
    </row>
    <row r="86" spans="1:28" ht="20.45" customHeight="1" x14ac:dyDescent="0.25">
      <c r="A86" s="646" t="s">
        <v>195</v>
      </c>
      <c r="B86" s="7">
        <f>IF(  AND(ISNUMBER(C86),OR(ISNUMBER(D86),D86="PG")),IF(IF(Capa!$B$6="B",0,Capa!$B$6)&gt;=C86,1,0),"")</f>
        <v>0</v>
      </c>
      <c r="C86" s="17">
        <f t="shared" si="13"/>
        <v>3</v>
      </c>
      <c r="D86" s="647">
        <v>125</v>
      </c>
      <c r="E86" s="398" t="s">
        <v>222</v>
      </c>
      <c r="F86" s="513"/>
      <c r="G86" s="468"/>
      <c r="H86" s="241"/>
      <c r="I86" s="29"/>
      <c r="J86" s="425">
        <f t="shared" si="17"/>
        <v>0</v>
      </c>
      <c r="K86" s="471"/>
      <c r="L86" s="697" t="str">
        <f t="shared" si="18"/>
        <v/>
      </c>
      <c r="M86" s="719"/>
      <c r="N86" s="720"/>
      <c r="O86" s="720"/>
      <c r="P86" s="720"/>
      <c r="Q86" s="720"/>
      <c r="R86" s="720"/>
      <c r="S86" s="720"/>
      <c r="T86" s="721"/>
      <c r="U86" s="71"/>
      <c r="V86" s="464"/>
      <c r="W86" s="476"/>
      <c r="X86" s="522"/>
      <c r="Y86" s="522"/>
      <c r="Z86" s="522"/>
      <c r="AA86" s="522"/>
      <c r="AB86" s="522"/>
    </row>
    <row r="87" spans="1:28" ht="30" x14ac:dyDescent="0.25">
      <c r="A87" s="646" t="s">
        <v>195</v>
      </c>
      <c r="B87" s="7">
        <f>IF(  AND(ISNUMBER(C87),OR(ISNUMBER(D87),D87="PG")),IF(IF(Capa!$B$6="B",0,Capa!$B$6)&gt;=C87,1,0),"")</f>
        <v>0</v>
      </c>
      <c r="C87" s="17">
        <f t="shared" si="13"/>
        <v>3</v>
      </c>
      <c r="D87" s="647">
        <v>126</v>
      </c>
      <c r="E87" s="352" t="s">
        <v>223</v>
      </c>
      <c r="F87" s="513"/>
      <c r="G87" s="468"/>
      <c r="H87" s="241"/>
      <c r="I87" s="29"/>
      <c r="J87" s="425">
        <f t="shared" si="17"/>
        <v>0</v>
      </c>
      <c r="K87" s="471"/>
      <c r="L87" s="697" t="str">
        <f t="shared" si="18"/>
        <v/>
      </c>
      <c r="M87" s="719"/>
      <c r="N87" s="720"/>
      <c r="O87" s="720"/>
      <c r="P87" s="720"/>
      <c r="Q87" s="720"/>
      <c r="R87" s="720"/>
      <c r="S87" s="720"/>
      <c r="T87" s="721"/>
      <c r="U87" s="71"/>
      <c r="V87" s="464"/>
      <c r="W87" s="476"/>
      <c r="X87" s="522"/>
      <c r="Y87" s="522"/>
      <c r="Z87" s="522"/>
      <c r="AA87" s="522"/>
      <c r="AB87" s="522"/>
    </row>
    <row r="88" spans="1:28" ht="60" x14ac:dyDescent="0.25">
      <c r="A88" s="646" t="s">
        <v>195</v>
      </c>
      <c r="B88" s="7">
        <f>IF(  AND(ISNUMBER(C88),OR(ISNUMBER(D88),D88="PG")),IF(IF(Capa!$B$6="B",0,Capa!$B$6)&gt;=C88,1,0),"")</f>
        <v>0</v>
      </c>
      <c r="C88" s="17">
        <f t="shared" si="13"/>
        <v>3</v>
      </c>
      <c r="D88" s="647">
        <v>127</v>
      </c>
      <c r="E88" s="352" t="s">
        <v>224</v>
      </c>
      <c r="F88" s="513"/>
      <c r="G88" s="468"/>
      <c r="H88" s="241"/>
      <c r="I88" s="29"/>
      <c r="J88" s="425">
        <f t="shared" si="17"/>
        <v>0</v>
      </c>
      <c r="K88" s="471"/>
      <c r="L88" s="697" t="str">
        <f t="shared" si="18"/>
        <v/>
      </c>
      <c r="M88" s="719"/>
      <c r="N88" s="720"/>
      <c r="O88" s="720"/>
      <c r="P88" s="720"/>
      <c r="Q88" s="720"/>
      <c r="R88" s="720"/>
      <c r="S88" s="720"/>
      <c r="T88" s="721"/>
      <c r="U88" s="71"/>
      <c r="V88" s="464"/>
      <c r="W88" s="476"/>
      <c r="X88" s="522"/>
      <c r="Y88" s="522"/>
      <c r="Z88" s="522"/>
      <c r="AA88" s="522"/>
      <c r="AB88" s="522"/>
    </row>
    <row r="89" spans="1:28" ht="30" x14ac:dyDescent="0.25">
      <c r="A89" s="646" t="s">
        <v>195</v>
      </c>
      <c r="B89" s="7">
        <f>IF(  AND(ISNUMBER(C89),OR(ISNUMBER(D89),D89="PG")),IF(IF(Capa!$B$6="B",0,Capa!$B$6)&gt;=C89,1,0),"")</f>
        <v>0</v>
      </c>
      <c r="C89" s="17">
        <f t="shared" si="13"/>
        <v>3</v>
      </c>
      <c r="D89" s="647">
        <v>128</v>
      </c>
      <c r="E89" s="352" t="s">
        <v>225</v>
      </c>
      <c r="F89" s="513"/>
      <c r="G89" s="468"/>
      <c r="H89" s="241"/>
      <c r="I89" s="29"/>
      <c r="J89" s="425">
        <f t="shared" si="17"/>
        <v>0</v>
      </c>
      <c r="K89" s="471"/>
      <c r="L89" s="697" t="str">
        <f t="shared" si="18"/>
        <v/>
      </c>
      <c r="M89" s="719"/>
      <c r="N89" s="720"/>
      <c r="O89" s="720"/>
      <c r="P89" s="720"/>
      <c r="Q89" s="720"/>
      <c r="R89" s="720"/>
      <c r="S89" s="720"/>
      <c r="T89" s="721"/>
      <c r="U89" s="71"/>
      <c r="V89" s="464"/>
      <c r="W89" s="476"/>
      <c r="X89" s="522"/>
      <c r="Y89" s="522"/>
      <c r="Z89" s="522"/>
      <c r="AA89" s="522"/>
      <c r="AB89" s="522"/>
    </row>
    <row r="90" spans="1:28" ht="9.6" customHeight="1" x14ac:dyDescent="0.25">
      <c r="B90" s="7" t="str">
        <f>IF(  AND(ISNUMBER(C90),OR(ISNUMBER(D90),D90="PG")),IF(IF(Capa!$B$6="B",0,Capa!$B$6)&gt;=C90,1,0),"")</f>
        <v/>
      </c>
      <c r="C90" s="17" t="str">
        <f t="shared" si="13"/>
        <v/>
      </c>
      <c r="D90" s="225"/>
      <c r="E90" s="401"/>
      <c r="F90" s="123"/>
      <c r="G90" s="227"/>
      <c r="H90" s="227"/>
      <c r="I90" s="123"/>
      <c r="J90" s="227"/>
      <c r="K90" s="692"/>
      <c r="L90" s="227"/>
      <c r="M90" s="119"/>
      <c r="N90" s="119"/>
      <c r="O90" s="119"/>
      <c r="P90" s="119"/>
      <c r="Q90" s="119"/>
      <c r="R90" s="119"/>
      <c r="S90" s="229"/>
      <c r="T90" s="229"/>
      <c r="U90" s="454"/>
      <c r="V90" s="544"/>
      <c r="W90" s="121"/>
      <c r="X90" s="522"/>
      <c r="Y90" s="522"/>
      <c r="Z90" s="522"/>
      <c r="AA90" s="522"/>
      <c r="AB90" s="522"/>
    </row>
    <row r="91" spans="1:28" x14ac:dyDescent="0.25">
      <c r="A91" s="210" t="s">
        <v>226</v>
      </c>
      <c r="B91" s="7" t="str">
        <f>IF(  AND(ISNUMBER(C91),OR(ISNUMBER(D91),D91="PG")),IF(IF(Capa!$B$6="B",0,Capa!$B$6)&gt;=C91,1,0),"")</f>
        <v/>
      </c>
      <c r="C91" s="17" t="str">
        <f t="shared" si="13"/>
        <v/>
      </c>
      <c r="D91" s="15"/>
      <c r="E91" s="395" t="s">
        <v>227</v>
      </c>
      <c r="F91" s="381">
        <f>IF(COUNTIFS($A$1:$A$240,"="&amp;A91&amp;"?",$B$1:$B$240,"&gt;0",$D$1:$D$240,"&gt;0")&gt;0,(COUNTIFS($A$1:$A$240,"="&amp;A91&amp;"?",$B$1:$B$240,"&gt;0",$D$1:$D$240,"&gt;0",F$1:F$240,"=S")+COUNTIFS($A$1:$A$240,"="&amp;A91&amp;"?",$B$1:$B$240,"&gt;0",$D$1:$D$240,"&gt;0",$F$1:$F$240,"=P")+COUNTIFS($A$1:$A$240,"="&amp;A91&amp;"?",$B$1:$B$240,"&gt;0",$D$1:$D$240,"&gt;0",F$1:F$240,"=N")+COUNTIFS($A$1:$A$240,"="&amp;A91&amp;"?",$B$1:$B$240,"&gt;0",$D$1:$D$240,"&gt;0",F$1:F$240,"=NA"))/COUNTIFS($A$1:$A$240,"="&amp;A91&amp;"?",$B$1:$B$240,"&gt;0",$D$1:$D$240,"&gt;0"),0)</f>
        <v>0</v>
      </c>
      <c r="G91" s="552"/>
      <c r="H91" s="232"/>
      <c r="I91" s="381">
        <f>IF(COUNTIFS($A$1:$A$240,"="&amp;A91&amp;"?",$B$1:$B$240,"&gt;0",$D$1:$D$240,"&gt;0")&gt;0,
        (COUNTIFS($A$1:$A$240,"="&amp;A91&amp;"?",$B$1:$B$240,"&gt;0",$D$1:$D$240,"&gt;0",F$1:F$240,"=S",I$1:I$240,"") +
         (COUNTIFS($A$1:$A$240,"="&amp;A91&amp;"?",$B$1:$B$240,"&gt;0",$D$1:$D$240,"&gt;0",$F$1:$F$240,"=P",I$1:I$240,"")/2) +
         COUNTIFS($A$1:$A$240,"="&amp;A91&amp;"?",$B$1:$B$240,"&gt;0",$D$1:$D$240,"&gt;0",I$1:I$240,"=S") +
         (COUNTIFS($A$1:$A$240,"="&amp;A91&amp;"?",$B$1:$B$240,"&gt;0",$D$1:$D$240,"&gt;0",I$1:I$240,"=P")/2)
         )/COUNTIFS($A$1:$A$240,"="&amp;A91&amp;"?",$B$1:$B$240,"&gt;0",$D$1:$D$240,"&gt;0"),0)</f>
        <v>0</v>
      </c>
      <c r="J91" s="232"/>
      <c r="K91" s="548"/>
      <c r="L91" s="232"/>
      <c r="M91" s="722">
        <f>(M92*20+N92*10+O92*10+Q92*30+R92*15+S92*15)/100</f>
        <v>0</v>
      </c>
      <c r="N91" s="723"/>
      <c r="O91" s="723"/>
      <c r="P91" s="723"/>
      <c r="Q91" s="723"/>
      <c r="R91" s="723"/>
      <c r="S91" s="723"/>
      <c r="T91" s="724"/>
      <c r="U91" s="450"/>
      <c r="V91" s="545"/>
      <c r="W91" s="66"/>
      <c r="X91" s="579"/>
      <c r="Y91" s="579"/>
      <c r="Z91" s="579"/>
      <c r="AA91" s="579"/>
      <c r="AB91" s="579"/>
    </row>
    <row r="92" spans="1:28" ht="18" customHeight="1" x14ac:dyDescent="0.25">
      <c r="A92" s="210" t="s">
        <v>226</v>
      </c>
      <c r="B92" s="7" t="str">
        <f>IF(  AND(ISNUMBER(C92),OR(ISNUMBER(D92),D92="PG")),IF(IF(Capa!$B$6="B",0,Capa!$B$6)&gt;=C92,1,0),"")</f>
        <v/>
      </c>
      <c r="C92" s="17" t="str">
        <f t="shared" si="13"/>
        <v/>
      </c>
      <c r="D92" s="110"/>
      <c r="E92" s="393">
        <f>IF(SUMIFS($B$1:$B$240,$A$1:$A$240,"="&amp;A91&amp;"?",B$1:B$240,"&gt;0")&lt;=0,0,COUNTIFS($F$1:$F$240,"*",$A$1:$A$240,"="&amp;A91&amp;"?",B$1:B$240,"&gt;0")/SUMIFS($B$1:$B$240,$A$1:$A$240,"="&amp;A91&amp;"?",B$1:B$240,"&gt;0"))</f>
        <v>0</v>
      </c>
      <c r="F92" s="520"/>
      <c r="G92" s="549"/>
      <c r="H92" s="234"/>
      <c r="I92" s="115"/>
      <c r="J92" s="235"/>
      <c r="K92" s="549"/>
      <c r="L92" s="235"/>
      <c r="M92" s="100">
        <f>(COUNTIFS($A$1:$A$240,"="&amp;$A91&amp;"?",$B$1:$B$240,"&gt;0",$D$1:$D$240,"=PG",M$1:M$240,"=1")*(IF(Capa!$B$6="B",100,IF(Capa!$B$6=1,50,IF(Capa!$B$6=2,33,25))))+COUNTIFS($A$1:$A$240,"="&amp;$A91&amp;"?",$B$1:$B$240,"&gt;0",$D$1:$D$240,"=PG",M$1:M$240,"=2")*(IF(Capa!$B$6="B",100,IF(Capa!$B$6=1,100,IF(Capa!$B$6=2,67,50))))+COUNTIFS($A$1:$A$240,"="&amp;$A91&amp;"?",$B$1:$B$240,"&gt;0",$D$1:$D$240,"=PG",M$1:M$240,"=3")*(IF(Capa!$B$6="B",100,IF(Capa!$B$6=1,100,IF(Capa!$B$6=2,100,75))))+COUNTIFS($A$1:$A$240,"="&amp;$A91&amp;"?",$B$1:$B$240,"&gt;0",$D$1:$D$240,"=PG",M$1:M$240,"=4")*100)/(COUNTIFS($A$1:$A$240,"="&amp;$A91&amp;"?",$B$1:$B$240,"&gt;0",$D$1:$D$240,"=PG")*100)</f>
        <v>0</v>
      </c>
      <c r="N92" s="100">
        <f>(COUNTIFS($A$1:$A$240,"="&amp;$A91&amp;"?",$B$1:$B$240,"&gt;0",$D$1:$D$240,"=PG",N$1:N$240,"=1")*(IF(Capa!$B$6="B",100,IF(Capa!$B$6=1,50,IF(Capa!$B$6=2,33,25))))+COUNTIFS($A$1:$A$240,"="&amp;$A91&amp;"?",$B$1:$B$240,"&gt;0",$D$1:$D$240,"=PG",N$1:N$240,"=2")*(IF(Capa!$B$6="B",100,IF(Capa!$B$6=1,100,IF(Capa!$B$6=2,67,50))))+COUNTIFS($A$1:$A$240,"="&amp;$A91&amp;"?",$B$1:$B$240,"&gt;0",$D$1:$D$240,"=PG",N$1:N$240,"=3")*(IF(Capa!$B$6="B",100,IF(Capa!$B$6=1,100,IF(Capa!$B$6=2,100,75))))+COUNTIFS($A$1:$A$240,"="&amp;$A91&amp;"?",$B$1:$B$240,"&gt;0",$D$1:$D$240,"=PG",N$1:N$240,"=4")*100)/(COUNTIFS($A$1:$A$240,"="&amp;$A91&amp;"?",$B$1:$B$240,"&gt;0",$D$1:$D$240,"=PG")*100)</f>
        <v>0</v>
      </c>
      <c r="O92" s="100">
        <f>(COUNTIFS($A$1:$A$240,"="&amp;$A91&amp;"?",$B$1:$B$240,"&gt;0",$D$1:$D$240,"=PG",O$1:O$240,"=1")*(IF(Capa!$B$6="B",100,IF(Capa!$B$6=1,50,IF(Capa!$B$6=2,33,25))))+COUNTIFS($A$1:$A$240,"="&amp;$A91&amp;"?",$B$1:$B$240,"&gt;0",$D$1:$D$240,"=PG",O$1:O$240,"=2")*(IF(Capa!$B$6="B",100,IF(Capa!$B$6=1,100,IF(Capa!$B$6=2,67,50))))+COUNTIFS($A$1:$A$240,"="&amp;$A91&amp;"?",$B$1:$B$240,"&gt;0",$D$1:$D$240,"=PG",O$1:O$240,"=3")*(IF(Capa!$B$6="B",100,IF(Capa!$B$6=1,100,IF(Capa!$B$6=2,100,75))))+COUNTIFS($A$1:$A$240,"="&amp;$A91&amp;"?",$B$1:$B$240,"&gt;0",$D$1:$D$240,"=PG",O$1:O$240,"=4")*100)/(COUNTIFS($A$1:$A$240,"="&amp;$A91&amp;"?",$B$1:$B$240,"&gt;0",$D$1:$D$240,"=PG")*100)</f>
        <v>0</v>
      </c>
      <c r="P92" s="414">
        <f>P95+P107</f>
        <v>0</v>
      </c>
      <c r="Q92" s="100">
        <f>(COUNTIFS($A$1:$A$240,"="&amp;$A91&amp;"?",$B$1:$B$240,"",$L$1:$L$240,"&gt;=0",Q$1:Q$240,"=1")*(IF(Capa!$B$6="B",100,IF(Capa!$B$6=1,50,IF(Capa!$B$6=2,33,25))))+COUNTIFS($A$1:$A$240,"="&amp;$A91&amp;"?",$B$1:$B$240,"",$L$1:$L$240,"&gt;=0",Q$1:Q$240,"=2")*(IF(Capa!$B$6="B",100,IF(Capa!$B$6=1,100,IF(Capa!$B$6=2,67,50))))+COUNTIFS($A$1:$A$240,"="&amp;$A91&amp;"?",$B$1:$B$240,"",$L$1:$L$240,"&gt;=0",Q$1:Q$240,"=3")*(IF(Capa!$B$6="B",100,IF(Capa!$B$6=1,100,IF(Capa!$B$6=2,100,75))))+COUNTIFS($A$1:$A$240,"="&amp;$A91&amp;"?",$B$1:$B$240,"",$L$1:$L$240,"&gt;=0",Q$1:Q$240,"=4")*100)/(COUNTIFS($A$1:$A$240,"="&amp;$A91&amp;"?",$B$1:$B$240,"",$L$1:$L$240,"&gt;=0")*100)</f>
        <v>0</v>
      </c>
      <c r="R92" s="100">
        <f>(COUNTIFS($A$1:$A$240,"="&amp;$A91&amp;"?",$B$1:$B$240,"&gt;0",$D$1:$D$240,"=PG",R$1:R$240,"=1")*(IF(Capa!$B$6="B",100,IF(Capa!$B$6=1,50,IF(Capa!$B$6=2,33,25))))+COUNTIFS($A$1:$A$240,"="&amp;$A91&amp;"?",$B$1:$B$240,"&gt;0",$D$1:$D$240,"=PG",R$1:R$240,"=2")*(IF(Capa!$B$6="B",100,IF(Capa!$B$6=1,100,IF(Capa!$B$6=2,67,50))))+COUNTIFS($A$1:$A$240,"="&amp;$A91&amp;"?",$B$1:$B$240,"&gt;0",$D$1:$D$240,"=PG",R$1:R$240,"=3")*(IF(Capa!$B$6="B",100,IF(Capa!$B$6=1,100,IF(Capa!$B$6=2,100,75))))+COUNTIFS($A$1:$A$240,"="&amp;$A91&amp;"?",$B$1:$B$240,"&gt;0",$D$1:$D$240,"=PG",R$1:R$240,"=4")*100)/(COUNTIFS($A$1:$A$240,"="&amp;$A91&amp;"?",$B$1:$B$240,"&gt;0",$D$1:$D$240,"=PG")*100)</f>
        <v>0</v>
      </c>
      <c r="S92" s="100">
        <f>(COUNTIFS($A$1:$A$240,"="&amp;$A91&amp;"?",$B$1:$B$240,"&gt;0",$D$1:$D$240,"=PG",S$1:S$240,"=1")*(IF(Capa!$B$6="B",100,IF(Capa!$B$6=1,50,IF(Capa!$B$6=2,33,25))))+COUNTIFS($A$1:$A$240,"="&amp;$A91&amp;"?",$B$1:$B$240,"&gt;0",$D$1:$D$240,"=PG",S$1:S$240,"=2")*(IF(Capa!$B$6="B",100,IF(Capa!$B$6=1,100,IF(Capa!$B$6=2,67,50))))+COUNTIFS($A$1:$A$240,"="&amp;$A91&amp;"?",$B$1:$B$240,"&gt;0",$D$1:$D$240,"=PG",S$1:S$240,"=3")*(IF(Capa!$B$6="B",100,IF(Capa!$B$6=1,100,IF(Capa!$B$6=2,100,75))))+COUNTIFS($A$1:$A$240,"="&amp;$A91&amp;"?",$B$1:$B$240,"&gt;0",$D$1:$D$240,"=PG",S$1:S$240,"=4")*100)/(COUNTIFS($A$1:$A$240,"="&amp;$A91&amp;"?",$B$1:$B$240,"&gt;0",$D$1:$D$240,"=PG")*100)</f>
        <v>0</v>
      </c>
      <c r="T92" s="414">
        <f>T95+T107</f>
        <v>0</v>
      </c>
      <c r="U92" s="100"/>
      <c r="V92" s="465"/>
      <c r="W92" s="478"/>
      <c r="X92" s="522"/>
      <c r="Y92" s="522"/>
      <c r="Z92" s="522"/>
      <c r="AA92" s="522"/>
      <c r="AB92" s="522"/>
    </row>
    <row r="93" spans="1:28" x14ac:dyDescent="0.25">
      <c r="A93" s="210" t="s">
        <v>228</v>
      </c>
      <c r="B93" s="7" t="str">
        <f>IF(  AND(ISNUMBER(C93),OR(ISNUMBER(D93),D93="PG")),IF(IF(Capa!$B$6="B",0,Capa!$B$6)&gt;=C93,1,0),"")</f>
        <v/>
      </c>
      <c r="C93" s="17" t="str">
        <f t="shared" si="13"/>
        <v/>
      </c>
      <c r="D93" s="15"/>
      <c r="E93" s="395" t="s">
        <v>229</v>
      </c>
      <c r="F93" s="517"/>
      <c r="G93" s="550"/>
      <c r="H93" s="219"/>
      <c r="I93" s="23"/>
      <c r="J93" s="219"/>
      <c r="K93" s="528"/>
      <c r="L93" s="383" t="str">
        <f>IF(AND($B95=1,D95="PG"),IF(COUNTIFS($A$1:$A$240,"="&amp;$A93,$B$1:$B$240,"&gt;0",$D$1:$D$240,"&gt;0")&gt;0,
        (COUNTIFS($A$1:$A$240,"="&amp;$A93,$B$1:$B$240,"&gt;0",$D$1:$D$240,"&gt;0",F$1:F$240,"=S",I$1:I$240,"") +
         (COUNTIFS($A$1:$A$240,"="&amp;$A93,$B$1:$B$240,"&gt;0",$D$1:$D$240,"&gt;0",$F$1:$F$240,"=P",I$1:I$240,"")/2) +
         COUNTIFS($A$1:$A$240,"="&amp;$A93,$B$1:$B$240,"&gt;0",$D$1:$D$240,"&gt;0",I$1:I$240,"=S") +
         (COUNTIFS($A$1:$A$240,"="&amp;$A93,$B$1:$B$240,"&gt;0",$D$1:$D$240,"&gt;0",I$1:I$240,"=P")/2)
         )/COUNTIFS($A$1:$A$240,"="&amp;$A93,$B$1:$B$240,"&gt;0",$D$1:$D$240,"&gt;0"),1),"")</f>
        <v/>
      </c>
      <c r="M93" s="380"/>
      <c r="N93" s="70"/>
      <c r="O93" s="68"/>
      <c r="P93" s="68"/>
      <c r="Q93" s="83" t="str">
        <f>IF(L93="","",MIN(IF(ISBLANK(Q95),0,Q95),IF(L93&gt;=0.9,4,IF(L93&gt;=0.7,3,IF(L93&gt;=0.5,2,IF(OR(L93&gt;0,Q95&gt;0),1,0))))))</f>
        <v/>
      </c>
      <c r="R93" s="68"/>
      <c r="S93" s="68"/>
      <c r="T93" s="68"/>
      <c r="U93" s="68"/>
      <c r="V93" s="545"/>
      <c r="W93" s="66"/>
      <c r="X93" s="579"/>
      <c r="Y93" s="579"/>
      <c r="Z93" s="579"/>
      <c r="AA93" s="579"/>
      <c r="AB93" s="579"/>
    </row>
    <row r="94" spans="1:28" ht="7.7" customHeight="1" x14ac:dyDescent="0.25">
      <c r="A94" s="210" t="s">
        <v>228</v>
      </c>
      <c r="B94" s="7" t="str">
        <f>IF(  AND(ISNUMBER(C94),OR(ISNUMBER(D94),D94="PG")),IF(IF(Capa!$B$6="B",0,Capa!$B$6)&gt;=C94,1,0),"")</f>
        <v/>
      </c>
      <c r="C94" s="17">
        <f t="shared" si="13"/>
        <v>1</v>
      </c>
      <c r="D94" s="18" t="s">
        <v>62</v>
      </c>
      <c r="E94" s="394"/>
      <c r="F94" s="516"/>
      <c r="G94" s="551"/>
      <c r="H94" s="239"/>
      <c r="I94" s="26"/>
      <c r="J94" s="239"/>
      <c r="K94" s="529"/>
      <c r="L94" s="242"/>
      <c r="M94" s="120"/>
      <c r="N94" s="120"/>
      <c r="O94" s="120"/>
      <c r="P94" s="120"/>
      <c r="Q94" s="120"/>
      <c r="R94" s="120"/>
      <c r="S94" s="281"/>
      <c r="T94" s="281"/>
      <c r="U94" s="355"/>
      <c r="V94" s="465"/>
      <c r="W94" s="478"/>
      <c r="X94" s="522"/>
      <c r="Y94" s="522"/>
      <c r="Z94" s="522"/>
      <c r="AA94" s="522"/>
      <c r="AB94" s="522"/>
    </row>
    <row r="95" spans="1:28" ht="38.25" x14ac:dyDescent="0.25">
      <c r="A95" s="646" t="s">
        <v>228</v>
      </c>
      <c r="B95" s="7">
        <f>IF(  AND(ISNUMBER(C95),OR(ISNUMBER(D95),D95="PG")),IF(IF(Capa!$B$6="B",0,Capa!$B$6)&gt;=C95,1,0),"")</f>
        <v>0</v>
      </c>
      <c r="C95" s="17">
        <f t="shared" si="13"/>
        <v>1</v>
      </c>
      <c r="D95" s="647" t="s">
        <v>54</v>
      </c>
      <c r="E95" s="389" t="s">
        <v>230</v>
      </c>
      <c r="F95" s="513"/>
      <c r="G95" s="468"/>
      <c r="H95" s="241"/>
      <c r="I95" s="29"/>
      <c r="J95" s="239"/>
      <c r="K95" s="471"/>
      <c r="L95" s="697" t="str">
        <f>IF(OR(AND(NOT(ISBLANK(M95)),M95&lt;IF(Capa!$B$6&lt;&gt;"B",Capa!$B$6+1,1)),AND(NOT(ISBLANK(N95)),N95&lt;IF(Capa!$B$6&lt;&gt;"B",Capa!$B$6+1,1)),AND(NOT(ISBLANK(O95)),O95&lt;IF(Capa!$B$6&lt;&gt;"B",Capa!$B$6+1,1)),AND(NOT(ISBLANK(Q95)),Q95&lt;IF(Capa!$B$6&lt;&gt;"B",Capa!$B$6+1,1)),AND(NOT(ISBLANK(R95)),R95&lt;IF(Capa!$B$6&lt;&gt;"B",Capa!$B$6+1,1)),AND(NOT(ISBLANK(S95)),S95&lt;IF(Capa!$B$6&lt;&gt;"B",Capa!$B$6+1,1))),1,"")</f>
        <v/>
      </c>
      <c r="M95" s="81"/>
      <c r="N95" s="81"/>
      <c r="O95" s="81"/>
      <c r="P95" s="81"/>
      <c r="Q95" s="81"/>
      <c r="R95" s="81"/>
      <c r="S95" s="81"/>
      <c r="T95" s="81"/>
      <c r="U95" s="58"/>
      <c r="V95" s="464"/>
      <c r="W95" s="476"/>
      <c r="X95" s="666"/>
      <c r="Y95" s="522"/>
      <c r="Z95" s="522"/>
      <c r="AA95" s="522"/>
      <c r="AB95" s="522"/>
    </row>
    <row r="96" spans="1:28" ht="45" x14ac:dyDescent="0.25">
      <c r="A96" s="646" t="s">
        <v>228</v>
      </c>
      <c r="B96" s="7">
        <f>IF(  AND(ISNUMBER(C96),OR(ISNUMBER(D96),D96="PG")),IF(IF(Capa!$B$6="B",0,Capa!$B$6)&gt;=C96,1,0),"")</f>
        <v>0</v>
      </c>
      <c r="C96" s="17">
        <f t="shared" si="13"/>
        <v>1</v>
      </c>
      <c r="D96" s="647">
        <v>129</v>
      </c>
      <c r="E96" s="352" t="s">
        <v>231</v>
      </c>
      <c r="F96" s="513"/>
      <c r="G96" s="468"/>
      <c r="H96" s="241"/>
      <c r="I96" s="29"/>
      <c r="J96" s="425">
        <f t="shared" ref="J96:J103" si="19">LEN(K96)</f>
        <v>0</v>
      </c>
      <c r="K96" s="471"/>
      <c r="L96" s="697" t="str">
        <f t="shared" ref="L96:L103" si="20">IF(OR(I96="N",I96="P"),1,"")</f>
        <v/>
      </c>
      <c r="M96" s="719"/>
      <c r="N96" s="720"/>
      <c r="O96" s="720"/>
      <c r="P96" s="720"/>
      <c r="Q96" s="720"/>
      <c r="R96" s="720"/>
      <c r="S96" s="720"/>
      <c r="T96" s="721"/>
      <c r="U96" s="71"/>
      <c r="V96" s="464"/>
      <c r="W96" s="476"/>
      <c r="X96" s="522"/>
      <c r="Y96" s="522"/>
      <c r="Z96" s="522"/>
      <c r="AA96" s="522"/>
      <c r="AB96" s="522"/>
    </row>
    <row r="97" spans="1:28" ht="9" customHeight="1" x14ac:dyDescent="0.25">
      <c r="A97" s="646" t="s">
        <v>228</v>
      </c>
      <c r="B97" s="7" t="str">
        <f>IF(  AND(ISNUMBER(C97),OR(ISNUMBER(D97),D97="PG")),IF(IF(Capa!$B$6="B",0,Capa!$B$6)&gt;=C97,1,0),"")</f>
        <v/>
      </c>
      <c r="C97" s="17">
        <f t="shared" si="13"/>
        <v>2</v>
      </c>
      <c r="D97" s="647" t="s">
        <v>64</v>
      </c>
      <c r="E97" s="352"/>
      <c r="F97" s="513"/>
      <c r="G97" s="468"/>
      <c r="H97" s="241"/>
      <c r="I97" s="29"/>
      <c r="J97" s="425">
        <f t="shared" si="19"/>
        <v>0</v>
      </c>
      <c r="K97" s="471"/>
      <c r="L97" s="697" t="str">
        <f t="shared" si="20"/>
        <v/>
      </c>
      <c r="M97" s="719"/>
      <c r="N97" s="720"/>
      <c r="O97" s="720"/>
      <c r="P97" s="720"/>
      <c r="Q97" s="720"/>
      <c r="R97" s="720"/>
      <c r="S97" s="720"/>
      <c r="T97" s="721"/>
      <c r="U97" s="71"/>
      <c r="V97" s="464"/>
      <c r="W97" s="476"/>
      <c r="X97" s="522"/>
      <c r="Y97" s="522"/>
      <c r="Z97" s="522"/>
      <c r="AA97" s="522"/>
      <c r="AB97" s="522"/>
    </row>
    <row r="98" spans="1:28" ht="30" x14ac:dyDescent="0.25">
      <c r="A98" s="646" t="s">
        <v>228</v>
      </c>
      <c r="B98" s="7">
        <f>IF(  AND(ISNUMBER(C98),OR(ISNUMBER(D98),D98="PG")),IF(IF(Capa!$B$6="B",0,Capa!$B$6)&gt;=C98,1,0),"")</f>
        <v>0</v>
      </c>
      <c r="C98" s="17">
        <f t="shared" si="13"/>
        <v>2</v>
      </c>
      <c r="D98" s="647">
        <v>130</v>
      </c>
      <c r="E98" s="398" t="s">
        <v>232</v>
      </c>
      <c r="F98" s="513"/>
      <c r="G98" s="468"/>
      <c r="H98" s="241"/>
      <c r="I98" s="29"/>
      <c r="J98" s="425">
        <f t="shared" si="19"/>
        <v>0</v>
      </c>
      <c r="K98" s="471"/>
      <c r="L98" s="697" t="str">
        <f t="shared" si="20"/>
        <v/>
      </c>
      <c r="M98" s="719"/>
      <c r="N98" s="720"/>
      <c r="O98" s="720"/>
      <c r="P98" s="720"/>
      <c r="Q98" s="720"/>
      <c r="R98" s="720"/>
      <c r="S98" s="720"/>
      <c r="T98" s="721"/>
      <c r="U98" s="71"/>
      <c r="V98" s="464"/>
      <c r="W98" s="476"/>
      <c r="X98" s="522"/>
      <c r="Y98" s="522"/>
      <c r="Z98" s="522"/>
      <c r="AA98" s="522"/>
      <c r="AB98" s="522"/>
    </row>
    <row r="99" spans="1:28" ht="65.45" customHeight="1" x14ac:dyDescent="0.25">
      <c r="A99" s="646" t="s">
        <v>228</v>
      </c>
      <c r="B99" s="7">
        <f>IF(  AND(ISNUMBER(C99),OR(ISNUMBER(D99),D99="PG")),IF(IF(Capa!$B$6="B",0,Capa!$B$6)&gt;=C99,1,0),"")</f>
        <v>0</v>
      </c>
      <c r="C99" s="17">
        <f t="shared" si="13"/>
        <v>2</v>
      </c>
      <c r="D99" s="647">
        <v>131</v>
      </c>
      <c r="E99" s="352" t="s">
        <v>233</v>
      </c>
      <c r="F99" s="513"/>
      <c r="G99" s="468"/>
      <c r="H99" s="241"/>
      <c r="I99" s="29"/>
      <c r="J99" s="425">
        <f t="shared" si="19"/>
        <v>0</v>
      </c>
      <c r="K99" s="471"/>
      <c r="L99" s="697" t="str">
        <f t="shared" si="20"/>
        <v/>
      </c>
      <c r="M99" s="719"/>
      <c r="N99" s="720"/>
      <c r="O99" s="720"/>
      <c r="P99" s="720"/>
      <c r="Q99" s="720"/>
      <c r="R99" s="720"/>
      <c r="S99" s="720"/>
      <c r="T99" s="721"/>
      <c r="U99" s="71"/>
      <c r="V99" s="464"/>
      <c r="W99" s="476"/>
      <c r="X99" s="522"/>
      <c r="Y99" s="522"/>
      <c r="Z99" s="522"/>
      <c r="AA99" s="522"/>
      <c r="AB99" s="522"/>
    </row>
    <row r="100" spans="1:28" ht="7.15" customHeight="1" x14ac:dyDescent="0.25">
      <c r="A100" s="646" t="s">
        <v>228</v>
      </c>
      <c r="B100" s="7" t="str">
        <f>IF(  AND(ISNUMBER(C100),OR(ISNUMBER(D100),D100="PG")),IF(IF(Capa!$B$6="B",0,Capa!$B$6)&gt;=C100,1,0),"")</f>
        <v/>
      </c>
      <c r="C100" s="17">
        <f t="shared" si="13"/>
        <v>3</v>
      </c>
      <c r="D100" s="647" t="s">
        <v>70</v>
      </c>
      <c r="E100" s="352"/>
      <c r="F100" s="513"/>
      <c r="G100" s="468"/>
      <c r="H100" s="241"/>
      <c r="I100" s="29"/>
      <c r="J100" s="425">
        <f t="shared" si="19"/>
        <v>0</v>
      </c>
      <c r="K100" s="471"/>
      <c r="L100" s="697" t="str">
        <f t="shared" si="20"/>
        <v/>
      </c>
      <c r="M100" s="719"/>
      <c r="N100" s="720"/>
      <c r="O100" s="720"/>
      <c r="P100" s="720"/>
      <c r="Q100" s="720"/>
      <c r="R100" s="720"/>
      <c r="S100" s="720"/>
      <c r="T100" s="721"/>
      <c r="U100" s="71"/>
      <c r="V100" s="464"/>
      <c r="W100" s="476"/>
      <c r="X100" s="522"/>
      <c r="Y100" s="522"/>
      <c r="Z100" s="522"/>
      <c r="AA100" s="522"/>
      <c r="AB100" s="522"/>
    </row>
    <row r="101" spans="1:28" ht="45" x14ac:dyDescent="0.25">
      <c r="A101" s="646" t="s">
        <v>228</v>
      </c>
      <c r="B101" s="7">
        <f>IF(  AND(ISNUMBER(C101),OR(ISNUMBER(D101),D101="PG")),IF(IF(Capa!$B$6="B",0,Capa!$B$6)&gt;=C101,1,0),"")</f>
        <v>0</v>
      </c>
      <c r="C101" s="17">
        <f t="shared" si="13"/>
        <v>3</v>
      </c>
      <c r="D101" s="647">
        <v>132</v>
      </c>
      <c r="E101" s="352" t="s">
        <v>234</v>
      </c>
      <c r="F101" s="513"/>
      <c r="G101" s="468"/>
      <c r="H101" s="241"/>
      <c r="I101" s="29"/>
      <c r="J101" s="425">
        <f t="shared" si="19"/>
        <v>0</v>
      </c>
      <c r="K101" s="471"/>
      <c r="L101" s="697" t="str">
        <f t="shared" si="20"/>
        <v/>
      </c>
      <c r="M101" s="719"/>
      <c r="N101" s="720"/>
      <c r="O101" s="720"/>
      <c r="P101" s="720"/>
      <c r="Q101" s="720"/>
      <c r="R101" s="720"/>
      <c r="S101" s="720"/>
      <c r="T101" s="721"/>
      <c r="U101" s="71"/>
      <c r="V101" s="464"/>
      <c r="W101" s="476"/>
      <c r="X101" s="522"/>
      <c r="Y101" s="522"/>
      <c r="Z101" s="522"/>
      <c r="AA101" s="522"/>
      <c r="AB101" s="522"/>
    </row>
    <row r="102" spans="1:28" ht="60" x14ac:dyDescent="0.25">
      <c r="A102" s="646" t="s">
        <v>228</v>
      </c>
      <c r="B102" s="7">
        <f>IF(  AND(ISNUMBER(C102),OR(ISNUMBER(D102),D102="PG")),IF(IF(Capa!$B$6="B",0,Capa!$B$6)&gt;=C102,1,0),"")</f>
        <v>0</v>
      </c>
      <c r="C102" s="17">
        <f t="shared" si="13"/>
        <v>3</v>
      </c>
      <c r="D102" s="647">
        <v>133</v>
      </c>
      <c r="E102" s="352" t="s">
        <v>235</v>
      </c>
      <c r="F102" s="513"/>
      <c r="G102" s="468"/>
      <c r="H102" s="241"/>
      <c r="I102" s="29"/>
      <c r="J102" s="425">
        <f t="shared" si="19"/>
        <v>0</v>
      </c>
      <c r="K102" s="471"/>
      <c r="L102" s="697" t="str">
        <f t="shared" si="20"/>
        <v/>
      </c>
      <c r="M102" s="719"/>
      <c r="N102" s="720"/>
      <c r="O102" s="720"/>
      <c r="P102" s="720"/>
      <c r="Q102" s="720"/>
      <c r="R102" s="720"/>
      <c r="S102" s="720"/>
      <c r="T102" s="721"/>
      <c r="U102" s="71"/>
      <c r="V102" s="464"/>
      <c r="W102" s="476"/>
      <c r="X102" s="522"/>
      <c r="Y102" s="522"/>
      <c r="Z102" s="522"/>
      <c r="AA102" s="522"/>
      <c r="AB102" s="522"/>
    </row>
    <row r="103" spans="1:28" ht="45" x14ac:dyDescent="0.25">
      <c r="A103" s="646" t="s">
        <v>228</v>
      </c>
      <c r="B103" s="7">
        <f>IF(  AND(ISNUMBER(C103),OR(ISNUMBER(D103),D103="PG")),IF(IF(Capa!$B$6="B",0,Capa!$B$6)&gt;=C103,1,0),"")</f>
        <v>0</v>
      </c>
      <c r="C103" s="17">
        <f t="shared" si="13"/>
        <v>3</v>
      </c>
      <c r="D103" s="647">
        <v>134</v>
      </c>
      <c r="E103" s="352" t="s">
        <v>236</v>
      </c>
      <c r="F103" s="513"/>
      <c r="G103" s="468"/>
      <c r="H103" s="241"/>
      <c r="I103" s="29"/>
      <c r="J103" s="425">
        <f t="shared" si="19"/>
        <v>0</v>
      </c>
      <c r="K103" s="471"/>
      <c r="L103" s="697" t="str">
        <f t="shared" si="20"/>
        <v/>
      </c>
      <c r="M103" s="719"/>
      <c r="N103" s="720"/>
      <c r="O103" s="720"/>
      <c r="P103" s="720"/>
      <c r="Q103" s="720"/>
      <c r="R103" s="720"/>
      <c r="S103" s="720"/>
      <c r="T103" s="721"/>
      <c r="U103" s="71"/>
      <c r="V103" s="464"/>
      <c r="W103" s="651"/>
      <c r="X103" s="522"/>
      <c r="Y103" s="522"/>
      <c r="Z103" s="522"/>
      <c r="AA103" s="522"/>
      <c r="AB103" s="522"/>
    </row>
    <row r="104" spans="1:28" ht="9.6" customHeight="1" x14ac:dyDescent="0.25">
      <c r="B104" s="7" t="str">
        <f>IF(  AND(ISNUMBER(C104),OR(ISNUMBER(D104),D104="PG")),IF(IF(Capa!$B$6="B",0,Capa!$B$6)&gt;=C104,1,0),"")</f>
        <v/>
      </c>
      <c r="C104" s="17" t="str">
        <f t="shared" si="13"/>
        <v/>
      </c>
      <c r="D104" s="225"/>
      <c r="E104" s="401"/>
      <c r="F104" s="123"/>
      <c r="G104" s="227"/>
      <c r="H104" s="227"/>
      <c r="I104" s="123"/>
      <c r="J104" s="227"/>
      <c r="K104" s="692"/>
      <c r="L104" s="227"/>
      <c r="M104" s="119"/>
      <c r="N104" s="119"/>
      <c r="O104" s="119"/>
      <c r="P104" s="119"/>
      <c r="Q104" s="119"/>
      <c r="R104" s="119"/>
      <c r="S104" s="229"/>
      <c r="T104" s="229"/>
      <c r="U104" s="454"/>
      <c r="V104" s="544"/>
      <c r="W104" s="121"/>
      <c r="X104" s="522"/>
      <c r="Y104" s="522"/>
      <c r="Z104" s="522"/>
      <c r="AA104" s="522"/>
      <c r="AB104" s="522"/>
    </row>
    <row r="105" spans="1:28" x14ac:dyDescent="0.25">
      <c r="A105" s="210" t="s">
        <v>237</v>
      </c>
      <c r="B105" s="7" t="str">
        <f>IF(  AND(ISNUMBER(C105),OR(ISNUMBER(D105),D105="PG")),IF(IF(Capa!$B$6="B",0,Capa!$B$6)&gt;=C105,1,0),"")</f>
        <v/>
      </c>
      <c r="C105" s="17" t="str">
        <f t="shared" si="13"/>
        <v/>
      </c>
      <c r="D105" s="15"/>
      <c r="E105" s="395" t="s">
        <v>238</v>
      </c>
      <c r="F105" s="517"/>
      <c r="G105" s="550"/>
      <c r="H105" s="219"/>
      <c r="I105" s="23"/>
      <c r="J105" s="219"/>
      <c r="K105" s="528"/>
      <c r="L105" s="383">
        <f>IF(AND($B107=1,D107="PG"),IF(COUNTIFS($A$1:$A$240,"="&amp;$A105,$B$1:$B$240,"&gt;0",$D$1:$D$240,"&gt;0")&gt;0,
        (COUNTIFS($A$1:$A$240,"="&amp;$A105,$B$1:$B$240,"&gt;0",$D$1:$D$240,"&gt;0",F$1:F$240,"=S",I$1:I$240,"") +
         (COUNTIFS($A$1:$A$240,"="&amp;$A105,$B$1:$B$240,"&gt;0",$D$1:$D$240,"&gt;0",$F$1:$F$240,"=P",I$1:I$240,"")/2) +
         COUNTIFS($A$1:$A$240,"="&amp;$A105,$B$1:$B$240,"&gt;0",$D$1:$D$240,"&gt;0",I$1:I$240,"=S") +
         (COUNTIFS($A$1:$A$240,"="&amp;$A105,$B$1:$B$240,"&gt;0",$D$1:$D$240,"&gt;0",I$1:I$240,"=P")/2)
         )/COUNTIFS($A$1:$A$240,"="&amp;$A105,$B$1:$B$240,"&gt;0",$D$1:$D$240,"&gt;0"),1),"")</f>
        <v>0</v>
      </c>
      <c r="M105" s="380"/>
      <c r="N105" s="70"/>
      <c r="O105" s="68"/>
      <c r="P105" s="68"/>
      <c r="Q105" s="83">
        <f>IF(L105="","",MIN(IF(ISBLANK(Q107),0,Q107),IF(L105&gt;=0.9,4,IF(L105&gt;=0.7,3,IF(L105&gt;=0.5,2,IF(OR(L105&gt;0,Q107&gt;0),1,0))))))</f>
        <v>0</v>
      </c>
      <c r="R105" s="68"/>
      <c r="S105" s="68"/>
      <c r="T105" s="68"/>
      <c r="U105" s="68"/>
      <c r="V105" s="545"/>
      <c r="W105" s="66"/>
      <c r="X105" s="579"/>
      <c r="Y105" s="579"/>
      <c r="Z105" s="579"/>
      <c r="AA105" s="579"/>
      <c r="AB105" s="579"/>
    </row>
    <row r="106" spans="1:28" ht="7.7" customHeight="1" x14ac:dyDescent="0.25">
      <c r="A106" s="210" t="s">
        <v>237</v>
      </c>
      <c r="B106" s="7" t="str">
        <f>IF(  AND(ISNUMBER(C106),OR(ISNUMBER(D106),D106="PG")),IF(IF(Capa!$B$6="B",0,Capa!$B$6)&gt;=C106,1,0),"")</f>
        <v/>
      </c>
      <c r="C106" s="17">
        <f t="shared" si="13"/>
        <v>0</v>
      </c>
      <c r="D106" s="18" t="s">
        <v>53</v>
      </c>
      <c r="E106" s="394"/>
      <c r="F106" s="516"/>
      <c r="G106" s="551"/>
      <c r="H106" s="239"/>
      <c r="I106" s="26"/>
      <c r="J106" s="239"/>
      <c r="K106" s="529"/>
      <c r="L106" s="242"/>
      <c r="M106" s="120"/>
      <c r="N106" s="120"/>
      <c r="O106" s="120"/>
      <c r="P106" s="120"/>
      <c r="Q106" s="120"/>
      <c r="R106" s="120"/>
      <c r="S106" s="281"/>
      <c r="T106" s="281"/>
      <c r="U106" s="355"/>
      <c r="V106" s="465"/>
      <c r="W106" s="478"/>
      <c r="X106" s="522"/>
      <c r="Y106" s="522"/>
      <c r="Z106" s="522"/>
      <c r="AA106" s="522"/>
      <c r="AB106" s="522"/>
    </row>
    <row r="107" spans="1:28" ht="102" x14ac:dyDescent="0.25">
      <c r="A107" s="646" t="s">
        <v>237</v>
      </c>
      <c r="B107" s="7">
        <f>IF(  AND(ISNUMBER(C107),OR(ISNUMBER(D107),D107="PG")),IF(IF(Capa!$B$6="B",0,Capa!$B$6)&gt;=C107,1,0),"")</f>
        <v>1</v>
      </c>
      <c r="C107" s="17">
        <f t="shared" si="13"/>
        <v>0</v>
      </c>
      <c r="D107" s="647" t="s">
        <v>54</v>
      </c>
      <c r="E107" s="389" t="s">
        <v>239</v>
      </c>
      <c r="F107" s="513"/>
      <c r="G107" s="468"/>
      <c r="H107" s="241"/>
      <c r="I107" s="29"/>
      <c r="J107" s="239"/>
      <c r="K107" s="471"/>
      <c r="L107" s="697" t="str">
        <f>IF(OR(AND(NOT(ISBLANK(M107)),M107&lt;IF(Capa!$B$6&lt;&gt;"B",Capa!$B$6+1,1)),AND(NOT(ISBLANK(N107)),N107&lt;IF(Capa!$B$6&lt;&gt;"B",Capa!$B$6+1,1)),AND(NOT(ISBLANK(O107)),O107&lt;IF(Capa!$B$6&lt;&gt;"B",Capa!$B$6+1,1)),AND(NOT(ISBLANK(Q107)),Q107&lt;IF(Capa!$B$6&lt;&gt;"B",Capa!$B$6+1,1)),AND(NOT(ISBLANK(R107)),R107&lt;IF(Capa!$B$6&lt;&gt;"B",Capa!$B$6+1,1)),AND(NOT(ISBLANK(S107)),S107&lt;IF(Capa!$B$6&lt;&gt;"B",Capa!$B$6+1,1))),1,"")</f>
        <v/>
      </c>
      <c r="M107" s="81"/>
      <c r="N107" s="81"/>
      <c r="O107" s="81"/>
      <c r="P107" s="81"/>
      <c r="Q107" s="81"/>
      <c r="R107" s="81"/>
      <c r="S107" s="81"/>
      <c r="T107" s="81"/>
      <c r="U107" s="58"/>
      <c r="V107" s="464"/>
      <c r="W107" s="476"/>
      <c r="X107" s="666"/>
      <c r="Y107" s="522"/>
      <c r="Z107" s="522"/>
      <c r="AA107" s="522"/>
      <c r="AB107" s="522"/>
    </row>
    <row r="108" spans="1:28" ht="60" x14ac:dyDescent="0.25">
      <c r="A108" s="646" t="s">
        <v>237</v>
      </c>
      <c r="B108" s="7">
        <f>IF(  AND(ISNUMBER(C108),OR(ISNUMBER(D108),D108="PG")),IF(IF(Capa!$B$6="B",0,Capa!$B$6)&gt;=C108,1,0),"")</f>
        <v>1</v>
      </c>
      <c r="C108" s="17">
        <f t="shared" si="13"/>
        <v>0</v>
      </c>
      <c r="D108" s="647">
        <v>135</v>
      </c>
      <c r="E108" s="352" t="s">
        <v>240</v>
      </c>
      <c r="F108" s="513"/>
      <c r="G108" s="468"/>
      <c r="H108" s="241"/>
      <c r="I108" s="29"/>
      <c r="J108" s="425">
        <f t="shared" ref="J108:J116" si="21">LEN(K108)</f>
        <v>0</v>
      </c>
      <c r="K108" s="471"/>
      <c r="L108" s="697" t="str">
        <f t="shared" ref="L108:L116" si="22">IF(OR(I108="N",I108="P"),1,"")</f>
        <v/>
      </c>
      <c r="M108" s="719"/>
      <c r="N108" s="720"/>
      <c r="O108" s="720"/>
      <c r="P108" s="720"/>
      <c r="Q108" s="720"/>
      <c r="R108" s="720"/>
      <c r="S108" s="720"/>
      <c r="T108" s="721"/>
      <c r="U108" s="71"/>
      <c r="V108" s="464"/>
      <c r="W108" s="476"/>
      <c r="X108" s="522"/>
      <c r="Y108" s="522"/>
      <c r="Z108" s="522"/>
      <c r="AA108" s="522"/>
      <c r="AB108" s="522"/>
    </row>
    <row r="109" spans="1:28" ht="6.6" customHeight="1" x14ac:dyDescent="0.25">
      <c r="A109" s="646" t="s">
        <v>237</v>
      </c>
      <c r="B109" s="7" t="str">
        <f>IF(  AND(ISNUMBER(C109),OR(ISNUMBER(D109),D109="PG")),IF(IF(Capa!$B$6="B",0,Capa!$B$6)&gt;=C109,1,0),"")</f>
        <v/>
      </c>
      <c r="C109" s="17">
        <f t="shared" si="13"/>
        <v>1</v>
      </c>
      <c r="D109" s="647" t="s">
        <v>62</v>
      </c>
      <c r="E109" s="352"/>
      <c r="F109" s="513"/>
      <c r="G109" s="468"/>
      <c r="H109" s="241"/>
      <c r="I109" s="29"/>
      <c r="J109" s="425">
        <f t="shared" si="21"/>
        <v>0</v>
      </c>
      <c r="K109" s="471"/>
      <c r="L109" s="697" t="str">
        <f t="shared" si="22"/>
        <v/>
      </c>
      <c r="M109" s="719"/>
      <c r="N109" s="720"/>
      <c r="O109" s="720"/>
      <c r="P109" s="720"/>
      <c r="Q109" s="720"/>
      <c r="R109" s="720"/>
      <c r="S109" s="720"/>
      <c r="T109" s="721"/>
      <c r="U109" s="71"/>
      <c r="V109" s="464"/>
      <c r="W109" s="476"/>
      <c r="X109" s="522"/>
      <c r="Y109" s="522"/>
      <c r="Z109" s="522"/>
      <c r="AA109" s="522"/>
      <c r="AB109" s="522"/>
    </row>
    <row r="110" spans="1:28" ht="75" x14ac:dyDescent="0.25">
      <c r="A110" s="646" t="s">
        <v>237</v>
      </c>
      <c r="B110" s="7">
        <f>IF(  AND(ISNUMBER(C110),OR(ISNUMBER(D110),D110="PG")),IF(IF(Capa!$B$6="B",0,Capa!$B$6)&gt;=C110,1,0),"")</f>
        <v>0</v>
      </c>
      <c r="C110" s="17">
        <f t="shared" si="13"/>
        <v>1</v>
      </c>
      <c r="D110" s="647">
        <v>136</v>
      </c>
      <c r="E110" s="352" t="s">
        <v>241</v>
      </c>
      <c r="F110" s="513"/>
      <c r="G110" s="468"/>
      <c r="H110" s="241"/>
      <c r="I110" s="29"/>
      <c r="J110" s="425">
        <f t="shared" si="21"/>
        <v>0</v>
      </c>
      <c r="K110" s="471"/>
      <c r="L110" s="697" t="str">
        <f t="shared" si="22"/>
        <v/>
      </c>
      <c r="M110" s="719"/>
      <c r="N110" s="720"/>
      <c r="O110" s="720"/>
      <c r="P110" s="720"/>
      <c r="Q110" s="720"/>
      <c r="R110" s="720"/>
      <c r="S110" s="720"/>
      <c r="T110" s="721"/>
      <c r="U110" s="71"/>
      <c r="V110" s="464"/>
      <c r="W110" s="476"/>
      <c r="X110" s="522"/>
      <c r="Y110" s="522"/>
      <c r="Z110" s="522"/>
      <c r="AA110" s="522"/>
      <c r="AB110" s="522"/>
    </row>
    <row r="111" spans="1:28" ht="6.6" customHeight="1" x14ac:dyDescent="0.25">
      <c r="A111" s="646" t="s">
        <v>237</v>
      </c>
      <c r="B111" s="7" t="str">
        <f>IF(  AND(ISNUMBER(C111),OR(ISNUMBER(D111),D111="PG")),IF(IF(Capa!$B$6="B",0,Capa!$B$6)&gt;=C111,1,0),"")</f>
        <v/>
      </c>
      <c r="C111" s="17">
        <f t="shared" si="13"/>
        <v>2</v>
      </c>
      <c r="D111" s="647" t="s">
        <v>64</v>
      </c>
      <c r="E111" s="352"/>
      <c r="F111" s="513"/>
      <c r="G111" s="468"/>
      <c r="H111" s="241"/>
      <c r="I111" s="29"/>
      <c r="J111" s="425">
        <f t="shared" si="21"/>
        <v>0</v>
      </c>
      <c r="K111" s="471"/>
      <c r="L111" s="697" t="str">
        <f t="shared" si="22"/>
        <v/>
      </c>
      <c r="M111" s="719"/>
      <c r="N111" s="720"/>
      <c r="O111" s="720"/>
      <c r="P111" s="720"/>
      <c r="Q111" s="720"/>
      <c r="R111" s="720"/>
      <c r="S111" s="720"/>
      <c r="T111" s="721"/>
      <c r="U111" s="71"/>
      <c r="V111" s="464"/>
      <c r="W111" s="476"/>
      <c r="X111" s="522"/>
      <c r="Y111" s="522"/>
      <c r="Z111" s="522"/>
      <c r="AA111" s="522"/>
      <c r="AB111" s="522"/>
    </row>
    <row r="112" spans="1:28" ht="52.9" customHeight="1" x14ac:dyDescent="0.25">
      <c r="A112" s="646" t="s">
        <v>237</v>
      </c>
      <c r="B112" s="7">
        <f>IF(  AND(ISNUMBER(C112),OR(ISNUMBER(D112),D112="PG")),IF(IF(Capa!$B$6="B",0,Capa!$B$6)&gt;=C112,1,0),"")</f>
        <v>0</v>
      </c>
      <c r="C112" s="17">
        <f t="shared" si="13"/>
        <v>2</v>
      </c>
      <c r="D112" s="647">
        <v>137</v>
      </c>
      <c r="E112" s="352" t="s">
        <v>242</v>
      </c>
      <c r="F112" s="513"/>
      <c r="G112" s="468"/>
      <c r="H112" s="241"/>
      <c r="I112" s="29"/>
      <c r="J112" s="425">
        <f t="shared" si="21"/>
        <v>0</v>
      </c>
      <c r="K112" s="471"/>
      <c r="L112" s="697" t="str">
        <f t="shared" si="22"/>
        <v/>
      </c>
      <c r="M112" s="719"/>
      <c r="N112" s="720"/>
      <c r="O112" s="720"/>
      <c r="P112" s="720"/>
      <c r="Q112" s="720"/>
      <c r="R112" s="720"/>
      <c r="S112" s="720"/>
      <c r="T112" s="721"/>
      <c r="U112" s="71"/>
      <c r="V112" s="464"/>
      <c r="W112" s="476"/>
      <c r="X112" s="522"/>
      <c r="Y112" s="522"/>
      <c r="Z112" s="522"/>
      <c r="AA112" s="522"/>
      <c r="AB112" s="522"/>
    </row>
    <row r="113" spans="1:28" ht="45" x14ac:dyDescent="0.25">
      <c r="A113" s="646" t="s">
        <v>237</v>
      </c>
      <c r="B113" s="7">
        <f>IF(  AND(ISNUMBER(C113),OR(ISNUMBER(D113),D113="PG")),IF(IF(Capa!$B$6="B",0,Capa!$B$6)&gt;=C113,1,0),"")</f>
        <v>0</v>
      </c>
      <c r="C113" s="17">
        <f t="shared" si="13"/>
        <v>2</v>
      </c>
      <c r="D113" s="647">
        <v>138</v>
      </c>
      <c r="E113" s="352" t="s">
        <v>243</v>
      </c>
      <c r="F113" s="513"/>
      <c r="G113" s="468"/>
      <c r="H113" s="241"/>
      <c r="I113" s="29"/>
      <c r="J113" s="425">
        <f t="shared" si="21"/>
        <v>0</v>
      </c>
      <c r="K113" s="471"/>
      <c r="L113" s="697" t="str">
        <f t="shared" si="22"/>
        <v/>
      </c>
      <c r="M113" s="719"/>
      <c r="N113" s="720"/>
      <c r="O113" s="720"/>
      <c r="P113" s="720"/>
      <c r="Q113" s="720"/>
      <c r="R113" s="720"/>
      <c r="S113" s="720"/>
      <c r="T113" s="721"/>
      <c r="U113" s="71"/>
      <c r="V113" s="464"/>
      <c r="W113" s="476"/>
      <c r="X113" s="522"/>
      <c r="Y113" s="522"/>
      <c r="Z113" s="522"/>
      <c r="AA113" s="522"/>
      <c r="AB113" s="522"/>
    </row>
    <row r="114" spans="1:28" ht="6.6" customHeight="1" x14ac:dyDescent="0.25">
      <c r="A114" s="646" t="s">
        <v>237</v>
      </c>
      <c r="B114" s="7" t="str">
        <f>IF(  AND(ISNUMBER(C114),OR(ISNUMBER(D114),D114="PG")),IF(IF(Capa!$B$6="B",0,Capa!$B$6)&gt;=C114,1,0),"")</f>
        <v/>
      </c>
      <c r="C114" s="17">
        <f t="shared" si="13"/>
        <v>3</v>
      </c>
      <c r="D114" s="647" t="s">
        <v>70</v>
      </c>
      <c r="E114" s="352"/>
      <c r="F114" s="513"/>
      <c r="G114" s="468"/>
      <c r="H114" s="241"/>
      <c r="I114" s="29"/>
      <c r="J114" s="425">
        <f t="shared" si="21"/>
        <v>0</v>
      </c>
      <c r="K114" s="471"/>
      <c r="L114" s="697" t="str">
        <f t="shared" si="22"/>
        <v/>
      </c>
      <c r="M114" s="719"/>
      <c r="N114" s="720"/>
      <c r="O114" s="720"/>
      <c r="P114" s="720"/>
      <c r="Q114" s="720"/>
      <c r="R114" s="720"/>
      <c r="S114" s="720"/>
      <c r="T114" s="721"/>
      <c r="U114" s="71"/>
      <c r="V114" s="464"/>
      <c r="W114" s="476"/>
      <c r="X114" s="522"/>
      <c r="Y114" s="522"/>
      <c r="Z114" s="522"/>
      <c r="AA114" s="522"/>
      <c r="AB114" s="522"/>
    </row>
    <row r="115" spans="1:28" ht="33" customHeight="1" x14ac:dyDescent="0.25">
      <c r="A115" s="646" t="s">
        <v>237</v>
      </c>
      <c r="B115" s="7">
        <f>IF(  AND(ISNUMBER(C115),OR(ISNUMBER(D115),D115="PG")),IF(IF(Capa!$B$6="B",0,Capa!$B$6)&gt;=C115,1,0),"")</f>
        <v>0</v>
      </c>
      <c r="C115" s="17">
        <f t="shared" si="13"/>
        <v>3</v>
      </c>
      <c r="D115" s="647">
        <v>139</v>
      </c>
      <c r="E115" s="352" t="s">
        <v>244</v>
      </c>
      <c r="F115" s="513"/>
      <c r="G115" s="468"/>
      <c r="H115" s="241"/>
      <c r="I115" s="29"/>
      <c r="J115" s="425">
        <f t="shared" si="21"/>
        <v>0</v>
      </c>
      <c r="K115" s="471"/>
      <c r="L115" s="697" t="str">
        <f t="shared" si="22"/>
        <v/>
      </c>
      <c r="M115" s="719"/>
      <c r="N115" s="720"/>
      <c r="O115" s="720"/>
      <c r="P115" s="720"/>
      <c r="Q115" s="720"/>
      <c r="R115" s="720"/>
      <c r="S115" s="720"/>
      <c r="T115" s="721"/>
      <c r="U115" s="71"/>
      <c r="V115" s="464"/>
      <c r="W115" s="476"/>
      <c r="X115" s="522"/>
      <c r="Y115" s="522"/>
      <c r="Z115" s="522"/>
      <c r="AA115" s="522"/>
      <c r="AB115" s="522"/>
    </row>
    <row r="116" spans="1:28" ht="60" x14ac:dyDescent="0.25">
      <c r="A116" s="646" t="s">
        <v>237</v>
      </c>
      <c r="B116" s="7">
        <f>IF(  AND(ISNUMBER(C116),OR(ISNUMBER(D116),D116="PG")),IF(IF(Capa!$B$6="B",0,Capa!$B$6)&gt;=C116,1,0),"")</f>
        <v>0</v>
      </c>
      <c r="C116" s="17">
        <f t="shared" si="13"/>
        <v>3</v>
      </c>
      <c r="D116" s="647">
        <v>140</v>
      </c>
      <c r="E116" s="398" t="s">
        <v>245</v>
      </c>
      <c r="F116" s="513"/>
      <c r="G116" s="468"/>
      <c r="H116" s="241"/>
      <c r="I116" s="29"/>
      <c r="J116" s="425">
        <f t="shared" si="21"/>
        <v>0</v>
      </c>
      <c r="K116" s="471"/>
      <c r="L116" s="697" t="str">
        <f t="shared" si="22"/>
        <v/>
      </c>
      <c r="M116" s="719"/>
      <c r="N116" s="720"/>
      <c r="O116" s="720"/>
      <c r="P116" s="720"/>
      <c r="Q116" s="720"/>
      <c r="R116" s="720"/>
      <c r="S116" s="720"/>
      <c r="T116" s="721"/>
      <c r="U116" s="71"/>
      <c r="V116" s="464"/>
      <c r="W116" s="476"/>
      <c r="X116" s="522"/>
      <c r="Y116" s="522"/>
      <c r="Z116" s="522"/>
      <c r="AA116" s="522"/>
      <c r="AB116" s="522"/>
    </row>
    <row r="117" spans="1:28" ht="9.6" customHeight="1" x14ac:dyDescent="0.25">
      <c r="B117" s="7" t="str">
        <f>IF(  AND(ISNUMBER(C117),OR(ISNUMBER(D117),D117="PG")),IF(IF(Capa!$B$6="B",0,Capa!$B$6)&gt;=C117,1,0),"")</f>
        <v/>
      </c>
      <c r="C117" s="17" t="str">
        <f t="shared" si="13"/>
        <v/>
      </c>
      <c r="D117" s="225"/>
      <c r="E117" s="401"/>
      <c r="F117" s="123"/>
      <c r="G117" s="227"/>
      <c r="H117" s="227"/>
      <c r="I117" s="123"/>
      <c r="J117" s="227"/>
      <c r="K117" s="692"/>
      <c r="L117" s="227"/>
      <c r="M117" s="119"/>
      <c r="N117" s="119"/>
      <c r="O117" s="119"/>
      <c r="P117" s="119"/>
      <c r="Q117" s="119"/>
      <c r="R117" s="119"/>
      <c r="S117" s="229"/>
      <c r="T117" s="229"/>
      <c r="U117" s="454"/>
      <c r="V117" s="544"/>
      <c r="W117" s="121"/>
      <c r="X117" s="522"/>
      <c r="Y117" s="522"/>
      <c r="Z117" s="522"/>
      <c r="AA117" s="522"/>
      <c r="AB117" s="522"/>
    </row>
    <row r="118" spans="1:28" x14ac:dyDescent="0.25">
      <c r="A118" s="210" t="s">
        <v>246</v>
      </c>
      <c r="B118" s="7" t="str">
        <f>IF(  AND(ISNUMBER(C118),OR(ISNUMBER(D118),D118="PG")),IF(IF(Capa!$B$6="B",0,Capa!$B$6)&gt;=C118,1,0),"")</f>
        <v/>
      </c>
      <c r="C118" s="17" t="str">
        <f t="shared" si="13"/>
        <v/>
      </c>
      <c r="D118" s="15"/>
      <c r="E118" s="395" t="s">
        <v>247</v>
      </c>
      <c r="F118" s="381">
        <f>IF(COUNTIFS($A$1:$A$240,"="&amp;A118&amp;"?",$B$1:$B$240,"&gt;0",$D$1:$D$240,"&gt;0")&gt;0,(COUNTIFS($A$1:$A$240,"="&amp;A118&amp;"?",$B$1:$B$240,"&gt;0",$D$1:$D$240,"&gt;0",F$1:F$240,"=S")+COUNTIFS($A$1:$A$240,"="&amp;A118&amp;"?",$B$1:$B$240,"&gt;0",$D$1:$D$240,"&gt;0",$F$1:$F$240,"=P")+COUNTIFS($A$1:$A$240,"="&amp;A118&amp;"?",$B$1:$B$240,"&gt;0",$D$1:$D$240,"&gt;0",F$1:F$240,"=N")+COUNTIFS($A$1:$A$240,"="&amp;A118&amp;"?",$B$1:$B$240,"&gt;0",$D$1:$D$240,"&gt;0",F$1:F$240,"=NA"))/COUNTIFS($A$1:$A$240,"="&amp;A118&amp;"?",$B$1:$B$240,"&gt;0",$D$1:$D$240,"&gt;0"),0)</f>
        <v>0</v>
      </c>
      <c r="G118" s="552"/>
      <c r="H118" s="232"/>
      <c r="I118" s="381">
        <f>IF(COUNTIFS($A$1:$A$240,"="&amp;A118&amp;"?",$B$1:$B$240,"&gt;0",$D$1:$D$240,"&gt;0")&gt;0,
        (COUNTIFS($A$1:$A$240,"="&amp;A118&amp;"?",$B$1:$B$240,"&gt;0",$D$1:$D$240,"&gt;0",F$1:F$240,"=S",I$1:I$240,"") +
         (COUNTIFS($A$1:$A$240,"="&amp;A118&amp;"?",$B$1:$B$240,"&gt;0",$D$1:$D$240,"&gt;0",$F$1:$F$240,"=P",I$1:I$240,"")/2) +
         COUNTIFS($A$1:$A$240,"="&amp;A118&amp;"?",$B$1:$B$240,"&gt;0",$D$1:$D$240,"&gt;0",I$1:I$240,"=S") +
         (COUNTIFS($A$1:$A$240,"="&amp;A118&amp;"?",$B$1:$B$240,"&gt;0",$D$1:$D$240,"&gt;0",I$1:I$240,"=P")/2)
         )/COUNTIFS($A$1:$A$240,"="&amp;A118&amp;"?",$B$1:$B$240,"&gt;0",$D$1:$D$240,"&gt;0"),0)</f>
        <v>0</v>
      </c>
      <c r="J118" s="232"/>
      <c r="K118" s="548"/>
      <c r="L118" s="232"/>
      <c r="M118" s="722">
        <f>(M119*20+N119*10+O119*10+Q119*30+R119*15+S119*15)/100</f>
        <v>0</v>
      </c>
      <c r="N118" s="723"/>
      <c r="O118" s="723"/>
      <c r="P118" s="723"/>
      <c r="Q118" s="723"/>
      <c r="R118" s="723"/>
      <c r="S118" s="723"/>
      <c r="T118" s="724"/>
      <c r="U118" s="450"/>
      <c r="V118" s="545"/>
      <c r="W118" s="66"/>
      <c r="X118" s="579"/>
      <c r="Y118" s="579"/>
      <c r="Z118" s="579"/>
      <c r="AA118" s="579"/>
      <c r="AB118" s="579"/>
    </row>
    <row r="119" spans="1:28" ht="14.85" customHeight="1" x14ac:dyDescent="0.25">
      <c r="A119" s="210" t="s">
        <v>246</v>
      </c>
      <c r="B119" s="7" t="str">
        <f>IF(  AND(ISNUMBER(C119),OR(ISNUMBER(D119),D119="PG")),IF(IF(Capa!$B$6="B",0,Capa!$B$6)&gt;=C119,1,0),"")</f>
        <v/>
      </c>
      <c r="C119" s="17" t="str">
        <f t="shared" si="13"/>
        <v/>
      </c>
      <c r="D119" s="110"/>
      <c r="E119" s="393">
        <f>IF(SUMIFS($B$1:$B$240,$A$1:$A$240,"="&amp;A118&amp;"?",B$1:B$240,"&gt;0")&lt;=0,0,COUNTIFS($F$1:$F$240,"*",$A$1:$A$240,"="&amp;A118&amp;"?",B$1:B$240,"&gt;0")/SUMIFS($B$1:$B$240,$A$1:$A$240,"="&amp;A118&amp;"?",B$1:B$240,"&gt;0"))</f>
        <v>0</v>
      </c>
      <c r="F119" s="520"/>
      <c r="G119" s="549"/>
      <c r="H119" s="234"/>
      <c r="I119" s="115"/>
      <c r="J119" s="235"/>
      <c r="K119" s="549"/>
      <c r="L119" s="235"/>
      <c r="M119" s="100">
        <f>(COUNTIFS($A$1:$A$240,"="&amp;$A118&amp;"?",$B$1:$B$240,"&gt;0",$D$1:$D$240,"=PG",M$1:M$240,"=1")*(IF(Capa!$B$6="B",100,IF(Capa!$B$6=1,50,IF(Capa!$B$6=2,33,25))))+COUNTIFS($A$1:$A$240,"="&amp;$A118&amp;"?",$B$1:$B$240,"&gt;0",$D$1:$D$240,"=PG",M$1:M$240,"=2")*(IF(Capa!$B$6="B",100,IF(Capa!$B$6=1,100,IF(Capa!$B$6=2,67,50))))+COUNTIFS($A$1:$A$240,"="&amp;$A118&amp;"?",$B$1:$B$240,"&gt;0",$D$1:$D$240,"=PG",M$1:M$240,"=3")*(IF(Capa!$B$6="B",100,IF(Capa!$B$6=1,100,IF(Capa!$B$6=2,100,75))))+COUNTIFS($A$1:$A$240,"="&amp;$A118&amp;"?",$B$1:$B$240,"&gt;0",$D$1:$D$240,"=PG",M$1:M$240,"=4")*100)/(COUNTIFS($A$1:$A$240,"="&amp;$A118&amp;"?",$B$1:$B$240,"&gt;0",$D$1:$D$240,"=PG")*100)</f>
        <v>0</v>
      </c>
      <c r="N119" s="100">
        <f>(COUNTIFS($A$1:$A$240,"="&amp;$A118&amp;"?",$B$1:$B$240,"&gt;0",$D$1:$D$240,"=PG",N$1:N$240,"=1")*(IF(Capa!$B$6="B",100,IF(Capa!$B$6=1,50,IF(Capa!$B$6=2,33,25))))+COUNTIFS($A$1:$A$240,"="&amp;$A118&amp;"?",$B$1:$B$240,"&gt;0",$D$1:$D$240,"=PG",N$1:N$240,"=2")*(IF(Capa!$B$6="B",100,IF(Capa!$B$6=1,100,IF(Capa!$B$6=2,67,50))))+COUNTIFS($A$1:$A$240,"="&amp;$A118&amp;"?",$B$1:$B$240,"&gt;0",$D$1:$D$240,"=PG",N$1:N$240,"=3")*(IF(Capa!$B$6="B",100,IF(Capa!$B$6=1,100,IF(Capa!$B$6=2,100,75))))+COUNTIFS($A$1:$A$240,"="&amp;$A118&amp;"?",$B$1:$B$240,"&gt;0",$D$1:$D$240,"=PG",N$1:N$240,"=4")*100)/(COUNTIFS($A$1:$A$240,"="&amp;$A118&amp;"?",$B$1:$B$240,"&gt;0",$D$1:$D$240,"=PG")*100)</f>
        <v>0</v>
      </c>
      <c r="O119" s="100">
        <f>(COUNTIFS($A$1:$A$240,"="&amp;$A118&amp;"?",$B$1:$B$240,"&gt;0",$D$1:$D$240,"=PG",O$1:O$240,"=1")*(IF(Capa!$B$6="B",100,IF(Capa!$B$6=1,50,IF(Capa!$B$6=2,33,25))))+COUNTIFS($A$1:$A$240,"="&amp;$A118&amp;"?",$B$1:$B$240,"&gt;0",$D$1:$D$240,"=PG",O$1:O$240,"=2")*(IF(Capa!$B$6="B",100,IF(Capa!$B$6=1,100,IF(Capa!$B$6=2,67,50))))+COUNTIFS($A$1:$A$240,"="&amp;$A118&amp;"?",$B$1:$B$240,"&gt;0",$D$1:$D$240,"=PG",O$1:O$240,"=3")*(IF(Capa!$B$6="B",100,IF(Capa!$B$6=1,100,IF(Capa!$B$6=2,100,75))))+COUNTIFS($A$1:$A$240,"="&amp;$A118&amp;"?",$B$1:$B$240,"&gt;0",$D$1:$D$240,"=PG",O$1:O$240,"=4")*100)/(COUNTIFS($A$1:$A$240,"="&amp;$A118&amp;"?",$B$1:$B$240,"&gt;0",$D$1:$D$240,"=PG")*100)</f>
        <v>0</v>
      </c>
      <c r="P119" s="414">
        <f>P122+P150</f>
        <v>0</v>
      </c>
      <c r="Q119" s="100">
        <f>(COUNTIFS($A$1:$A$240,"="&amp;$A118&amp;"?",$B$1:$B$240,"",$L$1:$L$240,"&gt;=0",Q$1:Q$240,"=1")*(IF(Capa!$B$6="B",100,IF(Capa!$B$6=1,50,IF(Capa!$B$6=2,33,25))))+COUNTIFS($A$1:$A$240,"="&amp;$A118&amp;"?",$B$1:$B$240,"",$L$1:$L$240,"&gt;=0",Q$1:Q$240,"=2")*(IF(Capa!$B$6="B",100,IF(Capa!$B$6=1,100,IF(Capa!$B$6=2,67,50))))+COUNTIFS($A$1:$A$240,"="&amp;$A118&amp;"?",$B$1:$B$240,"",$L$1:$L$240,"&gt;=0",Q$1:Q$240,"=3")*(IF(Capa!$B$6="B",100,IF(Capa!$B$6=1,100,IF(Capa!$B$6=2,100,75))))+COUNTIFS($A$1:$A$240,"="&amp;$A118&amp;"?",$B$1:$B$240,"",$L$1:$L$240,"&gt;=0",Q$1:Q$240,"=4")*100)/(COUNTIFS($A$1:$A$240,"="&amp;$A118&amp;"?",$B$1:$B$240,"",$L$1:$L$240,"&gt;=0")*100)</f>
        <v>0</v>
      </c>
      <c r="R119" s="100">
        <f>(COUNTIFS($A$1:$A$240,"="&amp;$A118&amp;"?",$B$1:$B$240,"&gt;0",$D$1:$D$240,"=PG",R$1:R$240,"=1")*(IF(Capa!$B$6="B",100,IF(Capa!$B$6=1,50,IF(Capa!$B$6=2,33,25))))+COUNTIFS($A$1:$A$240,"="&amp;$A118&amp;"?",$B$1:$B$240,"&gt;0",$D$1:$D$240,"=PG",R$1:R$240,"=2")*(IF(Capa!$B$6="B",100,IF(Capa!$B$6=1,100,IF(Capa!$B$6=2,67,50))))+COUNTIFS($A$1:$A$240,"="&amp;$A118&amp;"?",$B$1:$B$240,"&gt;0",$D$1:$D$240,"=PG",R$1:R$240,"=3")*(IF(Capa!$B$6="B",100,IF(Capa!$B$6=1,100,IF(Capa!$B$6=2,100,75))))+COUNTIFS($A$1:$A$240,"="&amp;$A118&amp;"?",$B$1:$B$240,"&gt;0",$D$1:$D$240,"=PG",R$1:R$240,"=4")*100)/(COUNTIFS($A$1:$A$240,"="&amp;$A118&amp;"?",$B$1:$B$240,"&gt;0",$D$1:$D$240,"=PG")*100)</f>
        <v>0</v>
      </c>
      <c r="S119" s="100">
        <f>(COUNTIFS($A$1:$A$240,"="&amp;$A118&amp;"?",$B$1:$B$240,"&gt;0",$D$1:$D$240,"=PG",S$1:S$240,"=1")*(IF(Capa!$B$6="B",100,IF(Capa!$B$6=1,50,IF(Capa!$B$6=2,33,25))))+COUNTIFS($A$1:$A$240,"="&amp;$A118&amp;"?",$B$1:$B$240,"&gt;0",$D$1:$D$240,"=PG",S$1:S$240,"=2")*(IF(Capa!$B$6="B",100,IF(Capa!$B$6=1,100,IF(Capa!$B$6=2,67,50))))+COUNTIFS($A$1:$A$240,"="&amp;$A118&amp;"?",$B$1:$B$240,"&gt;0",$D$1:$D$240,"=PG",S$1:S$240,"=3")*(IF(Capa!$B$6="B",100,IF(Capa!$B$6=1,100,IF(Capa!$B$6=2,100,75))))+COUNTIFS($A$1:$A$240,"="&amp;$A118&amp;"?",$B$1:$B$240,"&gt;0",$D$1:$D$240,"=PG",S$1:S$240,"=4")*100)/(COUNTIFS($A$1:$A$240,"="&amp;$A118&amp;"?",$B$1:$B$240,"&gt;0",$D$1:$D$240,"=PG")*100)</f>
        <v>0</v>
      </c>
      <c r="T119" s="100"/>
      <c r="U119" s="414">
        <f>U122+U150</f>
        <v>0</v>
      </c>
      <c r="V119" s="465"/>
      <c r="W119" s="478"/>
      <c r="X119" s="522"/>
      <c r="Y119" s="522"/>
      <c r="Z119" s="522"/>
      <c r="AA119" s="522"/>
      <c r="AB119" s="522"/>
    </row>
    <row r="120" spans="1:28" x14ac:dyDescent="0.25">
      <c r="A120" s="210" t="s">
        <v>248</v>
      </c>
      <c r="B120" s="7" t="str">
        <f>IF(  AND(ISNUMBER(C120),OR(ISNUMBER(D120),D120="PG")),IF(IF(Capa!$B$6="B",0,Capa!$B$6)&gt;=C120,1,0),"")</f>
        <v/>
      </c>
      <c r="C120" s="17" t="str">
        <f t="shared" si="13"/>
        <v/>
      </c>
      <c r="D120" s="15"/>
      <c r="E120" s="395" t="s">
        <v>249</v>
      </c>
      <c r="F120" s="517"/>
      <c r="G120" s="550"/>
      <c r="H120" s="219"/>
      <c r="I120" s="23"/>
      <c r="J120" s="219"/>
      <c r="K120" s="528"/>
      <c r="L120" s="383">
        <f>IF(AND($B122=1,D122="PG"),IF(COUNTIFS($A$1:$A$240,"="&amp;$A120,$B$1:$B$240,"&gt;0",$D$1:$D$240,"&gt;0")&gt;0,
        (COUNTIFS($A$1:$A$240,"="&amp;$A120,$B$1:$B$240,"&gt;0",$D$1:$D$240,"&gt;0",F$1:F$240,"=S",I$1:I$240,"") +
         (COUNTIFS($A$1:$A$240,"="&amp;$A120,$B$1:$B$240,"&gt;0",$D$1:$D$240,"&gt;0",$F$1:$F$240,"=P",I$1:I$240,"")/2) +
         COUNTIFS($A$1:$A$240,"="&amp;$A120,$B$1:$B$240,"&gt;0",$D$1:$D$240,"&gt;0",I$1:I$240,"=S") +
         (COUNTIFS($A$1:$A$240,"="&amp;$A120,$B$1:$B$240,"&gt;0",$D$1:$D$240,"&gt;0",I$1:I$240,"=P")/2)
         )/COUNTIFS($A$1:$A$240,"="&amp;$A120,$B$1:$B$240,"&gt;0",$D$1:$D$240,"&gt;0"),1),"")</f>
        <v>0</v>
      </c>
      <c r="M120" s="380"/>
      <c r="N120" s="70"/>
      <c r="O120" s="68"/>
      <c r="P120" s="68"/>
      <c r="Q120" s="83">
        <f>IF(L120="","",MIN(IF(ISBLANK(Q122),0,Q122),IF(L120&gt;=0.9,4,IF(L120&gt;=0.7,3,IF(L120&gt;=0.5,2,IF(OR(L120&gt;0,Q122&gt;0),1,0))))))</f>
        <v>0</v>
      </c>
      <c r="R120" s="68"/>
      <c r="S120" s="68"/>
      <c r="T120" s="68"/>
      <c r="U120" s="68"/>
      <c r="V120" s="545"/>
      <c r="W120" s="66"/>
      <c r="X120" s="579"/>
      <c r="Y120" s="579"/>
      <c r="Z120" s="579"/>
      <c r="AA120" s="579"/>
      <c r="AB120" s="579"/>
    </row>
    <row r="121" spans="1:28" ht="9" customHeight="1" x14ac:dyDescent="0.25">
      <c r="A121" s="210" t="s">
        <v>248</v>
      </c>
      <c r="B121" s="7" t="str">
        <f>IF(  AND(ISNUMBER(C121),OR(ISNUMBER(D121),D121="PG")),IF(IF(Capa!$B$6="B",0,Capa!$B$6)&gt;=C121,1,0),"")</f>
        <v/>
      </c>
      <c r="C121" s="17">
        <f t="shared" si="13"/>
        <v>0</v>
      </c>
      <c r="D121" s="18" t="s">
        <v>53</v>
      </c>
      <c r="E121" s="394"/>
      <c r="F121" s="516"/>
      <c r="G121" s="551"/>
      <c r="H121" s="239"/>
      <c r="I121" s="27"/>
      <c r="J121" s="239"/>
      <c r="K121" s="529"/>
      <c r="L121" s="242"/>
      <c r="M121" s="63"/>
      <c r="N121" s="63"/>
      <c r="O121" s="63"/>
      <c r="P121" s="63"/>
      <c r="Q121" s="63"/>
      <c r="R121" s="63"/>
      <c r="U121" s="287"/>
      <c r="V121" s="546"/>
      <c r="X121" s="522"/>
      <c r="Y121" s="522"/>
      <c r="Z121" s="522"/>
      <c r="AA121" s="522"/>
      <c r="AB121" s="522"/>
    </row>
    <row r="122" spans="1:28" ht="114.75" x14ac:dyDescent="0.25">
      <c r="A122" s="646" t="s">
        <v>248</v>
      </c>
      <c r="B122" s="7">
        <f>IF(  AND(ISNUMBER(C122),OR(ISNUMBER(D122),D122="PG")),IF(IF(Capa!$B$6="B",0,Capa!$B$6)&gt;=C122,1,0),"")</f>
        <v>1</v>
      </c>
      <c r="C122" s="17">
        <f t="shared" si="13"/>
        <v>0</v>
      </c>
      <c r="D122" s="647" t="s">
        <v>54</v>
      </c>
      <c r="E122" s="389" t="s">
        <v>250</v>
      </c>
      <c r="F122" s="513"/>
      <c r="G122" s="468"/>
      <c r="H122" s="241"/>
      <c r="I122" s="29"/>
      <c r="J122" s="239"/>
      <c r="K122" s="471"/>
      <c r="L122" s="697" t="str">
        <f>IF(OR(AND(NOT(ISBLANK(M122)),M122&lt;IF(Capa!$B$6&lt;&gt;"B",Capa!$B$6+1,1)),AND(NOT(ISBLANK(N122)),N122&lt;IF(Capa!$B$6&lt;&gt;"B",Capa!$B$6+1,1)),AND(NOT(ISBLANK(O122)),O122&lt;IF(Capa!$B$6&lt;&gt;"B",Capa!$B$6+1,1)),AND(NOT(ISBLANK(Q122)),Q122&lt;IF(Capa!$B$6&lt;&gt;"B",Capa!$B$6+1,1)),AND(NOT(ISBLANK(R122)),R122&lt;IF(Capa!$B$6&lt;&gt;"B",Capa!$B$6+1,1)),AND(NOT(ISBLANK(S122)),S122&lt;IF(Capa!$B$6&lt;&gt;"B",Capa!$B$6+1,1))),1,"")</f>
        <v/>
      </c>
      <c r="M122" s="81"/>
      <c r="N122" s="81"/>
      <c r="O122" s="81"/>
      <c r="P122" s="81"/>
      <c r="Q122" s="81"/>
      <c r="R122" s="81"/>
      <c r="S122" s="81"/>
      <c r="T122" s="81"/>
      <c r="U122" s="58"/>
      <c r="V122" s="464"/>
      <c r="W122" s="476"/>
      <c r="X122" s="666"/>
      <c r="Y122" s="522"/>
      <c r="Z122" s="522"/>
      <c r="AA122" s="522"/>
      <c r="AB122" s="522"/>
    </row>
    <row r="123" spans="1:28" ht="45" x14ac:dyDescent="0.25">
      <c r="A123" s="646" t="s">
        <v>248</v>
      </c>
      <c r="B123" s="7">
        <f>IF(  AND(ISNUMBER(C123),OR(ISNUMBER(D123),D123="PG")),IF(IF(Capa!$B$6="B",0,Capa!$B$6)&gt;=C123,1,0),"")</f>
        <v>1</v>
      </c>
      <c r="C123" s="17">
        <f t="shared" si="13"/>
        <v>0</v>
      </c>
      <c r="D123" s="647">
        <v>141</v>
      </c>
      <c r="E123" s="352" t="s">
        <v>251</v>
      </c>
      <c r="F123" s="513"/>
      <c r="G123" s="468"/>
      <c r="H123" s="241"/>
      <c r="I123" s="29"/>
      <c r="J123" s="425">
        <f t="shared" ref="J123:J124" si="23">LEN(K123)</f>
        <v>0</v>
      </c>
      <c r="K123" s="471"/>
      <c r="L123" s="697" t="str">
        <f t="shared" ref="L123:L124" si="24">IF(OR(I123="N",I123="P"),1,"")</f>
        <v/>
      </c>
      <c r="M123" s="719"/>
      <c r="N123" s="720"/>
      <c r="O123" s="720"/>
      <c r="P123" s="720"/>
      <c r="Q123" s="720"/>
      <c r="R123" s="720"/>
      <c r="S123" s="720"/>
      <c r="T123" s="721"/>
      <c r="U123" s="71"/>
      <c r="V123" s="464"/>
      <c r="W123" s="476"/>
      <c r="X123" s="522"/>
      <c r="Y123" s="522"/>
      <c r="Z123" s="522"/>
      <c r="AA123" s="522"/>
      <c r="AB123" s="522"/>
    </row>
    <row r="124" spans="1:28" ht="45" x14ac:dyDescent="0.25">
      <c r="A124" s="646" t="s">
        <v>248</v>
      </c>
      <c r="B124" s="7">
        <f>IF(  AND(ISNUMBER(C124),OR(ISNUMBER(D124),D124="PG")),IF(IF(Capa!$B$6="B",0,Capa!$B$6)&gt;=C124,1,0),"")</f>
        <v>1</v>
      </c>
      <c r="C124" s="17">
        <f t="shared" si="13"/>
        <v>0</v>
      </c>
      <c r="D124" s="647">
        <v>142</v>
      </c>
      <c r="E124" s="352" t="s">
        <v>252</v>
      </c>
      <c r="F124" s="513"/>
      <c r="G124" s="468"/>
      <c r="H124" s="241"/>
      <c r="I124" s="29"/>
      <c r="J124" s="425">
        <f t="shared" si="23"/>
        <v>0</v>
      </c>
      <c r="K124" s="471"/>
      <c r="L124" s="697" t="str">
        <f t="shared" si="24"/>
        <v/>
      </c>
      <c r="M124" s="719"/>
      <c r="N124" s="720"/>
      <c r="O124" s="720"/>
      <c r="P124" s="720"/>
      <c r="Q124" s="720"/>
      <c r="R124" s="720"/>
      <c r="S124" s="720"/>
      <c r="T124" s="721"/>
      <c r="U124" s="71"/>
      <c r="V124" s="464"/>
      <c r="W124" s="476"/>
      <c r="X124" s="522"/>
      <c r="Y124" s="522"/>
      <c r="Z124" s="522"/>
      <c r="AA124" s="522"/>
      <c r="AB124" s="522"/>
    </row>
    <row r="125" spans="1:28" ht="60" x14ac:dyDescent="0.25">
      <c r="A125" s="646" t="s">
        <v>248</v>
      </c>
      <c r="B125" s="7" t="str">
        <f>IF(  AND(ISNUMBER(C125),OR(ISNUMBER(D125),D125="PG")),IF(IF(Capa!$B$6="B",0,Capa!$B$6)&gt;=C125,1,0),"")</f>
        <v/>
      </c>
      <c r="C125" s="17">
        <f t="shared" si="13"/>
        <v>0</v>
      </c>
      <c r="D125" s="647" t="s">
        <v>200</v>
      </c>
      <c r="E125" s="403" t="s">
        <v>253</v>
      </c>
      <c r="F125" s="519"/>
      <c r="G125" s="495"/>
      <c r="H125" s="384"/>
      <c r="I125" s="130"/>
      <c r="J125" s="253"/>
      <c r="K125" s="493"/>
      <c r="L125" s="240"/>
      <c r="M125" s="731"/>
      <c r="N125" s="732"/>
      <c r="O125" s="732"/>
      <c r="P125" s="732"/>
      <c r="Q125" s="732"/>
      <c r="R125" s="732"/>
      <c r="S125" s="732"/>
      <c r="T125" s="733"/>
      <c r="U125" s="71"/>
      <c r="V125" s="464"/>
      <c r="W125" s="476"/>
      <c r="X125" s="522"/>
      <c r="Y125" s="522"/>
      <c r="Z125" s="522"/>
      <c r="AA125" s="522"/>
      <c r="AB125" s="522"/>
    </row>
    <row r="126" spans="1:28" ht="25.5" x14ac:dyDescent="0.25">
      <c r="A126" s="646" t="s">
        <v>248</v>
      </c>
      <c r="B126" s="7">
        <f>IF(  AND(ISNUMBER(C126),OR(ISNUMBER(D126),D126="PG")),IF(IF(Capa!$B$6="B",0,Capa!$B$6)&gt;=C126,1,0),"")</f>
        <v>1</v>
      </c>
      <c r="C126" s="17">
        <f t="shared" si="13"/>
        <v>0</v>
      </c>
      <c r="D126" s="647">
        <v>143</v>
      </c>
      <c r="E126" s="352" t="s">
        <v>254</v>
      </c>
      <c r="F126" s="513"/>
      <c r="G126" s="468"/>
      <c r="H126" s="241"/>
      <c r="I126" s="29"/>
      <c r="J126" s="425">
        <f t="shared" ref="J126:J134" si="25">LEN(K126)</f>
        <v>0</v>
      </c>
      <c r="K126" s="471"/>
      <c r="L126" s="697" t="str">
        <f t="shared" ref="L126:L134" si="26">IF(OR(I126="N",I126="P"),1,"")</f>
        <v/>
      </c>
      <c r="M126" s="719"/>
      <c r="N126" s="720"/>
      <c r="O126" s="720"/>
      <c r="P126" s="720"/>
      <c r="Q126" s="720"/>
      <c r="R126" s="720"/>
      <c r="S126" s="720"/>
      <c r="T126" s="721"/>
      <c r="U126" s="71"/>
      <c r="V126" s="464"/>
      <c r="W126" s="476"/>
      <c r="X126" s="522"/>
      <c r="Y126" s="522"/>
      <c r="Z126" s="522"/>
      <c r="AA126" s="522"/>
      <c r="AB126" s="522"/>
    </row>
    <row r="127" spans="1:28" ht="25.5" x14ac:dyDescent="0.25">
      <c r="A127" s="646" t="s">
        <v>248</v>
      </c>
      <c r="B127" s="7">
        <f>IF(  AND(ISNUMBER(C127),OR(ISNUMBER(D127),D127="PG")),IF(IF(Capa!$B$6="B",0,Capa!$B$6)&gt;=C127,1,0),"")</f>
        <v>1</v>
      </c>
      <c r="C127" s="17">
        <f t="shared" si="13"/>
        <v>0</v>
      </c>
      <c r="D127" s="647">
        <v>144</v>
      </c>
      <c r="E127" s="352" t="s">
        <v>203</v>
      </c>
      <c r="F127" s="513"/>
      <c r="G127" s="468"/>
      <c r="H127" s="241"/>
      <c r="I127" s="29"/>
      <c r="J127" s="425">
        <f t="shared" si="25"/>
        <v>0</v>
      </c>
      <c r="K127" s="471"/>
      <c r="L127" s="697" t="str">
        <f t="shared" si="26"/>
        <v/>
      </c>
      <c r="M127" s="719"/>
      <c r="N127" s="720"/>
      <c r="O127" s="720"/>
      <c r="P127" s="720"/>
      <c r="Q127" s="720"/>
      <c r="R127" s="720"/>
      <c r="S127" s="720"/>
      <c r="T127" s="721"/>
      <c r="U127" s="71"/>
      <c r="V127" s="464"/>
      <c r="W127" s="476"/>
      <c r="X127" s="522"/>
      <c r="Y127" s="522"/>
      <c r="Z127" s="522"/>
      <c r="AA127" s="522"/>
      <c r="AB127" s="522"/>
    </row>
    <row r="128" spans="1:28" ht="17.45" customHeight="1" x14ac:dyDescent="0.25">
      <c r="A128" s="646" t="s">
        <v>248</v>
      </c>
      <c r="B128" s="7">
        <f>IF(  AND(ISNUMBER(C128),OR(ISNUMBER(D128),D128="PG")),IF(IF(Capa!$B$6="B",0,Capa!$B$6)&gt;=C128,1,0),"")</f>
        <v>1</v>
      </c>
      <c r="C128" s="17">
        <f t="shared" si="13"/>
        <v>0</v>
      </c>
      <c r="D128" s="647">
        <v>145</v>
      </c>
      <c r="E128" s="352" t="s">
        <v>204</v>
      </c>
      <c r="F128" s="513"/>
      <c r="G128" s="468"/>
      <c r="H128" s="241"/>
      <c r="I128" s="29"/>
      <c r="J128" s="425">
        <f t="shared" si="25"/>
        <v>0</v>
      </c>
      <c r="K128" s="471"/>
      <c r="L128" s="697" t="str">
        <f t="shared" si="26"/>
        <v/>
      </c>
      <c r="M128" s="719"/>
      <c r="N128" s="720"/>
      <c r="O128" s="720"/>
      <c r="P128" s="720"/>
      <c r="Q128" s="720"/>
      <c r="R128" s="720"/>
      <c r="S128" s="720"/>
      <c r="T128" s="721"/>
      <c r="U128" s="71"/>
      <c r="V128" s="464"/>
      <c r="W128" s="476"/>
      <c r="X128" s="522"/>
      <c r="Y128" s="522"/>
      <c r="Z128" s="522"/>
      <c r="AA128" s="522"/>
      <c r="AB128" s="522"/>
    </row>
    <row r="129" spans="1:28" ht="25.5" x14ac:dyDescent="0.25">
      <c r="A129" s="646" t="s">
        <v>248</v>
      </c>
      <c r="B129" s="7">
        <f>IF(  AND(ISNUMBER(C129),OR(ISNUMBER(D129),D129="PG")),IF(IF(Capa!$B$6="B",0,Capa!$B$6)&gt;=C129,1,0),"")</f>
        <v>1</v>
      </c>
      <c r="C129" s="17">
        <f t="shared" si="13"/>
        <v>0</v>
      </c>
      <c r="D129" s="647">
        <v>146</v>
      </c>
      <c r="E129" s="352" t="s">
        <v>255</v>
      </c>
      <c r="F129" s="513"/>
      <c r="G129" s="468"/>
      <c r="H129" s="241"/>
      <c r="I129" s="29"/>
      <c r="J129" s="425">
        <f t="shared" si="25"/>
        <v>0</v>
      </c>
      <c r="K129" s="471"/>
      <c r="L129" s="697" t="str">
        <f t="shared" si="26"/>
        <v/>
      </c>
      <c r="M129" s="719"/>
      <c r="N129" s="720"/>
      <c r="O129" s="720"/>
      <c r="P129" s="720"/>
      <c r="Q129" s="720"/>
      <c r="R129" s="720"/>
      <c r="S129" s="720"/>
      <c r="T129" s="721"/>
      <c r="U129" s="71"/>
      <c r="V129" s="464"/>
      <c r="W129" s="476"/>
      <c r="X129" s="522"/>
      <c r="Y129" s="522"/>
      <c r="Z129" s="522"/>
      <c r="AA129" s="522"/>
      <c r="AB129" s="522"/>
    </row>
    <row r="130" spans="1:28" ht="25.5" x14ac:dyDescent="0.25">
      <c r="A130" s="646" t="s">
        <v>248</v>
      </c>
      <c r="B130" s="7">
        <f>IF(  AND(ISNUMBER(C130),OR(ISNUMBER(D130),D130="PG")),IF(IF(Capa!$B$6="B",0,Capa!$B$6)&gt;=C130,1,0),"")</f>
        <v>1</v>
      </c>
      <c r="C130" s="17">
        <f t="shared" si="13"/>
        <v>0</v>
      </c>
      <c r="D130" s="647">
        <v>147</v>
      </c>
      <c r="E130" s="352" t="s">
        <v>206</v>
      </c>
      <c r="F130" s="513"/>
      <c r="G130" s="468"/>
      <c r="H130" s="241"/>
      <c r="I130" s="29"/>
      <c r="J130" s="425">
        <f t="shared" si="25"/>
        <v>0</v>
      </c>
      <c r="K130" s="471"/>
      <c r="L130" s="697" t="str">
        <f t="shared" si="26"/>
        <v/>
      </c>
      <c r="M130" s="719"/>
      <c r="N130" s="720"/>
      <c r="O130" s="720"/>
      <c r="P130" s="720"/>
      <c r="Q130" s="720"/>
      <c r="R130" s="720"/>
      <c r="S130" s="720"/>
      <c r="T130" s="721"/>
      <c r="U130" s="71"/>
      <c r="V130" s="464"/>
      <c r="W130" s="476"/>
      <c r="X130" s="522"/>
      <c r="Y130" s="522"/>
      <c r="Z130" s="522"/>
      <c r="AA130" s="522"/>
      <c r="AB130" s="522"/>
    </row>
    <row r="131" spans="1:28" ht="25.5" x14ac:dyDescent="0.25">
      <c r="A131" s="646" t="s">
        <v>248</v>
      </c>
      <c r="B131" s="7">
        <f>IF(  AND(ISNUMBER(C131),OR(ISNUMBER(D131),D131="PG")),IF(IF(Capa!$B$6="B",0,Capa!$B$6)&gt;=C131,1,0),"")</f>
        <v>1</v>
      </c>
      <c r="C131" s="17">
        <f t="shared" si="13"/>
        <v>0</v>
      </c>
      <c r="D131" s="647">
        <v>148</v>
      </c>
      <c r="E131" s="352" t="s">
        <v>256</v>
      </c>
      <c r="F131" s="513"/>
      <c r="G131" s="468"/>
      <c r="H131" s="241"/>
      <c r="I131" s="29"/>
      <c r="J131" s="425">
        <f t="shared" si="25"/>
        <v>0</v>
      </c>
      <c r="K131" s="471"/>
      <c r="L131" s="697" t="str">
        <f t="shared" si="26"/>
        <v/>
      </c>
      <c r="M131" s="719"/>
      <c r="N131" s="720"/>
      <c r="O131" s="720"/>
      <c r="P131" s="720"/>
      <c r="Q131" s="720"/>
      <c r="R131" s="720"/>
      <c r="S131" s="720"/>
      <c r="T131" s="721"/>
      <c r="U131" s="71"/>
      <c r="V131" s="464"/>
      <c r="W131" s="476"/>
      <c r="X131" s="522"/>
      <c r="Y131" s="522"/>
      <c r="Z131" s="522"/>
      <c r="AA131" s="522"/>
      <c r="AB131" s="522"/>
    </row>
    <row r="132" spans="1:28" ht="8.4499999999999993" customHeight="1" x14ac:dyDescent="0.25">
      <c r="A132" s="646" t="s">
        <v>248</v>
      </c>
      <c r="B132" s="7" t="str">
        <f>IF(  AND(ISNUMBER(C132),OR(ISNUMBER(D132),D132="PG")),IF(IF(Capa!$B$6="B",0,Capa!$B$6)&gt;=C132,1,0),"")</f>
        <v/>
      </c>
      <c r="C132" s="17">
        <f t="shared" si="13"/>
        <v>1</v>
      </c>
      <c r="D132" s="647" t="s">
        <v>62</v>
      </c>
      <c r="E132" s="352"/>
      <c r="F132" s="513"/>
      <c r="G132" s="468"/>
      <c r="H132" s="241"/>
      <c r="I132" s="29"/>
      <c r="J132" s="425">
        <f t="shared" si="25"/>
        <v>0</v>
      </c>
      <c r="K132" s="471"/>
      <c r="L132" s="697" t="str">
        <f t="shared" si="26"/>
        <v/>
      </c>
      <c r="M132" s="719"/>
      <c r="N132" s="720"/>
      <c r="O132" s="720"/>
      <c r="P132" s="720"/>
      <c r="Q132" s="720"/>
      <c r="R132" s="720"/>
      <c r="S132" s="720"/>
      <c r="T132" s="721"/>
      <c r="U132" s="71"/>
      <c r="V132" s="464"/>
      <c r="W132" s="476"/>
      <c r="X132" s="522"/>
      <c r="Y132" s="522"/>
      <c r="Z132" s="522"/>
      <c r="AA132" s="522"/>
      <c r="AB132" s="522"/>
    </row>
    <row r="133" spans="1:28" ht="45" x14ac:dyDescent="0.25">
      <c r="A133" s="646" t="s">
        <v>248</v>
      </c>
      <c r="B133" s="7">
        <f>IF(  AND(ISNUMBER(C133),OR(ISNUMBER(D133),D133="PG")),IF(IF(Capa!$B$6="B",0,Capa!$B$6)&gt;=C133,1,0),"")</f>
        <v>0</v>
      </c>
      <c r="C133" s="17">
        <f t="shared" si="13"/>
        <v>1</v>
      </c>
      <c r="D133" s="647">
        <v>149</v>
      </c>
      <c r="E133" s="352" t="s">
        <v>257</v>
      </c>
      <c r="F133" s="513"/>
      <c r="G133" s="468"/>
      <c r="H133" s="241"/>
      <c r="I133" s="29"/>
      <c r="J133" s="425">
        <f t="shared" si="25"/>
        <v>0</v>
      </c>
      <c r="K133" s="471"/>
      <c r="L133" s="697" t="str">
        <f t="shared" si="26"/>
        <v/>
      </c>
      <c r="M133" s="719"/>
      <c r="N133" s="720"/>
      <c r="O133" s="720"/>
      <c r="P133" s="720"/>
      <c r="Q133" s="720"/>
      <c r="R133" s="720"/>
      <c r="S133" s="720"/>
      <c r="T133" s="721"/>
      <c r="U133" s="71"/>
      <c r="V133" s="464"/>
      <c r="W133" s="476"/>
      <c r="X133" s="522"/>
      <c r="Y133" s="522"/>
      <c r="Z133" s="522"/>
      <c r="AA133" s="522"/>
      <c r="AB133" s="522"/>
    </row>
    <row r="134" spans="1:28" ht="60" x14ac:dyDescent="0.25">
      <c r="A134" s="646" t="s">
        <v>248</v>
      </c>
      <c r="B134" s="7">
        <f>IF(  AND(ISNUMBER(C134),OR(ISNUMBER(D134),D134="PG")),IF(IF(Capa!$B$6="B",0,Capa!$B$6)&gt;=C134,1,0),"")</f>
        <v>0</v>
      </c>
      <c r="C134" s="17">
        <f t="shared" si="13"/>
        <v>1</v>
      </c>
      <c r="D134" s="647">
        <v>150</v>
      </c>
      <c r="E134" s="352" t="s">
        <v>258</v>
      </c>
      <c r="F134" s="513"/>
      <c r="G134" s="468"/>
      <c r="H134" s="241"/>
      <c r="I134" s="29"/>
      <c r="J134" s="425">
        <f t="shared" si="25"/>
        <v>0</v>
      </c>
      <c r="K134" s="471"/>
      <c r="L134" s="697" t="str">
        <f t="shared" si="26"/>
        <v/>
      </c>
      <c r="M134" s="719"/>
      <c r="N134" s="720"/>
      <c r="O134" s="720"/>
      <c r="P134" s="720"/>
      <c r="Q134" s="720"/>
      <c r="R134" s="720"/>
      <c r="S134" s="720"/>
      <c r="T134" s="721"/>
      <c r="U134" s="71"/>
      <c r="V134" s="464"/>
      <c r="W134" s="476"/>
      <c r="X134" s="522"/>
      <c r="Y134" s="522"/>
      <c r="Z134" s="522"/>
      <c r="AA134" s="522"/>
      <c r="AB134" s="522"/>
    </row>
    <row r="135" spans="1:28" ht="45" x14ac:dyDescent="0.25">
      <c r="A135" s="646" t="s">
        <v>248</v>
      </c>
      <c r="B135" s="7" t="str">
        <f>IF(  AND(ISNUMBER(C135),OR(ISNUMBER(D135),D135="PG")),IF(IF(Capa!$B$6="B",0,Capa!$B$6)&gt;=C135,1,0),"")</f>
        <v/>
      </c>
      <c r="C135" s="17">
        <f t="shared" si="13"/>
        <v>1</v>
      </c>
      <c r="D135" s="647" t="s">
        <v>200</v>
      </c>
      <c r="E135" s="403" t="s">
        <v>259</v>
      </c>
      <c r="F135" s="519"/>
      <c r="G135" s="495"/>
      <c r="H135" s="384"/>
      <c r="I135" s="130"/>
      <c r="J135" s="253"/>
      <c r="K135" s="493"/>
      <c r="L135" s="240"/>
      <c r="M135" s="731"/>
      <c r="N135" s="732"/>
      <c r="O135" s="732"/>
      <c r="P135" s="732"/>
      <c r="Q135" s="732"/>
      <c r="R135" s="732"/>
      <c r="S135" s="732"/>
      <c r="T135" s="733"/>
      <c r="U135" s="71"/>
      <c r="V135" s="464"/>
      <c r="W135" s="476"/>
      <c r="X135" s="522"/>
      <c r="Y135" s="522"/>
      <c r="Z135" s="522"/>
      <c r="AA135" s="522"/>
      <c r="AB135" s="522"/>
    </row>
    <row r="136" spans="1:28" ht="25.5" x14ac:dyDescent="0.25">
      <c r="A136" s="646" t="s">
        <v>248</v>
      </c>
      <c r="B136" s="7">
        <f>IF(  AND(ISNUMBER(C136),OR(ISNUMBER(D136),D136="PG")),IF(IF(Capa!$B$6="B",0,Capa!$B$6)&gt;=C136,1,0),"")</f>
        <v>0</v>
      </c>
      <c r="C136" s="17">
        <f t="shared" ref="C136:C162" si="27">IF(ISBLANK(D136),"",IF(ISERR(SEARCH(D136&amp;"\","&lt;B&gt;\&lt;1&gt;\&lt;2&gt;\&lt;3&gt;\")),IF(AND(NOT(ISBLANK(C135)),C135&lt;=3),C135,""),
IF(SEARCH(D136&amp;"\","&lt;B&gt;\&lt;1&gt;\&lt;2&gt;\&lt;3&gt;\")=1,0,IF(SEARCH(D136&amp;"\","&lt;B&gt;\&lt;1&gt;\&lt;2&gt;\&lt;3&gt;\")=5,1,IF(SEARCH(D136&amp;"\","&lt;B&gt;\&lt;1&gt;\&lt;2&gt;\&lt;3&gt;\")=9,2,IF(SEARCH(D136&amp;"\","&lt;B&gt;\&lt;1&gt;\&lt;2&gt;\&lt;3&gt;\")=13,3,""))))))</f>
        <v>1</v>
      </c>
      <c r="D136" s="647">
        <v>151</v>
      </c>
      <c r="E136" s="398" t="s">
        <v>211</v>
      </c>
      <c r="F136" s="513"/>
      <c r="G136" s="468"/>
      <c r="H136" s="241"/>
      <c r="I136" s="29"/>
      <c r="J136" s="425">
        <f t="shared" ref="J136:J137" si="28">LEN(K136)</f>
        <v>0</v>
      </c>
      <c r="K136" s="471"/>
      <c r="L136" s="697" t="str">
        <f t="shared" ref="L136:L137" si="29">IF(OR(I136="N",I136="P"),1,"")</f>
        <v/>
      </c>
      <c r="M136" s="719"/>
      <c r="N136" s="720"/>
      <c r="O136" s="720"/>
      <c r="P136" s="720"/>
      <c r="Q136" s="720"/>
      <c r="R136" s="720"/>
      <c r="S136" s="720"/>
      <c r="T136" s="721"/>
      <c r="U136" s="71"/>
      <c r="V136" s="464"/>
      <c r="W136" s="476"/>
      <c r="X136" s="522"/>
      <c r="Y136" s="522"/>
      <c r="Z136" s="522"/>
      <c r="AA136" s="522"/>
      <c r="AB136" s="522"/>
    </row>
    <row r="137" spans="1:28" ht="25.5" x14ac:dyDescent="0.25">
      <c r="A137" s="646" t="s">
        <v>248</v>
      </c>
      <c r="B137" s="7">
        <f>IF(  AND(ISNUMBER(C137),OR(ISNUMBER(D137),D137="PG")),IF(IF(Capa!$B$6="B",0,Capa!$B$6)&gt;=C137,1,0),"")</f>
        <v>0</v>
      </c>
      <c r="C137" s="17">
        <f t="shared" si="27"/>
        <v>1</v>
      </c>
      <c r="D137" s="647">
        <v>152</v>
      </c>
      <c r="E137" s="398" t="s">
        <v>260</v>
      </c>
      <c r="F137" s="513"/>
      <c r="G137" s="468"/>
      <c r="H137" s="241"/>
      <c r="I137" s="29"/>
      <c r="J137" s="425">
        <f t="shared" si="28"/>
        <v>0</v>
      </c>
      <c r="K137" s="471"/>
      <c r="L137" s="697" t="str">
        <f t="shared" si="29"/>
        <v/>
      </c>
      <c r="M137" s="719"/>
      <c r="N137" s="720"/>
      <c r="O137" s="720"/>
      <c r="P137" s="720"/>
      <c r="Q137" s="720"/>
      <c r="R137" s="720"/>
      <c r="S137" s="720"/>
      <c r="T137" s="721"/>
      <c r="U137" s="71"/>
      <c r="V137" s="464"/>
      <c r="W137" s="476"/>
      <c r="X137" s="522"/>
      <c r="Y137" s="522"/>
      <c r="Z137" s="522"/>
      <c r="AA137" s="522"/>
      <c r="AB137" s="522"/>
    </row>
    <row r="138" spans="1:28" ht="4.9000000000000004" customHeight="1" x14ac:dyDescent="0.25">
      <c r="A138" s="646" t="s">
        <v>248</v>
      </c>
      <c r="B138" s="7" t="str">
        <f>IF(  AND(ISNUMBER(C138),OR(ISNUMBER(D138),D138="PG")),IF(IF(Capa!$B$6="B",0,Capa!$B$6)&gt;=C138,1,0),"")</f>
        <v/>
      </c>
      <c r="C138" s="17">
        <f t="shared" si="27"/>
        <v>2</v>
      </c>
      <c r="D138" s="647" t="s">
        <v>64</v>
      </c>
      <c r="E138" s="352"/>
      <c r="F138" s="513"/>
      <c r="G138" s="468"/>
      <c r="H138" s="241"/>
      <c r="I138" s="29"/>
      <c r="J138" s="264"/>
      <c r="K138" s="471"/>
      <c r="L138" s="240"/>
      <c r="M138" s="731"/>
      <c r="N138" s="732"/>
      <c r="O138" s="732"/>
      <c r="P138" s="732"/>
      <c r="Q138" s="732"/>
      <c r="R138" s="732"/>
      <c r="S138" s="732"/>
      <c r="T138" s="733"/>
      <c r="U138" s="71"/>
      <c r="V138" s="464"/>
      <c r="W138" s="476"/>
      <c r="X138" s="522"/>
      <c r="Y138" s="522"/>
      <c r="Z138" s="522"/>
      <c r="AA138" s="522"/>
      <c r="AB138" s="522"/>
    </row>
    <row r="139" spans="1:28" ht="45" x14ac:dyDescent="0.25">
      <c r="A139" s="646" t="s">
        <v>248</v>
      </c>
      <c r="B139" s="7" t="str">
        <f>IF(  AND(ISNUMBER(C139),OR(ISNUMBER(D139),D139="PG")),IF(IF(Capa!$B$6="B",0,Capa!$B$6)&gt;=C139,1,0),"")</f>
        <v/>
      </c>
      <c r="C139" s="17">
        <f t="shared" si="27"/>
        <v>2</v>
      </c>
      <c r="D139" s="647" t="s">
        <v>200</v>
      </c>
      <c r="E139" s="403" t="s">
        <v>261</v>
      </c>
      <c r="F139" s="519"/>
      <c r="G139" s="495"/>
      <c r="H139" s="384"/>
      <c r="I139" s="130"/>
      <c r="J139" s="253"/>
      <c r="K139" s="493"/>
      <c r="L139" s="240"/>
      <c r="M139" s="731"/>
      <c r="N139" s="732"/>
      <c r="O139" s="732"/>
      <c r="P139" s="732"/>
      <c r="Q139" s="732"/>
      <c r="R139" s="732"/>
      <c r="S139" s="732"/>
      <c r="T139" s="733"/>
      <c r="U139" s="71"/>
      <c r="V139" s="464"/>
      <c r="W139" s="476"/>
      <c r="X139" s="522"/>
      <c r="Y139" s="522"/>
      <c r="Z139" s="522"/>
      <c r="AA139" s="522"/>
      <c r="AB139" s="522"/>
    </row>
    <row r="140" spans="1:28" ht="30" x14ac:dyDescent="0.25">
      <c r="A140" s="646" t="s">
        <v>248</v>
      </c>
      <c r="B140" s="7">
        <f>IF(  AND(ISNUMBER(C140),OR(ISNUMBER(D140),D140="PG")),IF(IF(Capa!$B$6="B",0,Capa!$B$6)&gt;=C140,1,0),"")</f>
        <v>0</v>
      </c>
      <c r="C140" s="17">
        <f t="shared" si="27"/>
        <v>2</v>
      </c>
      <c r="D140" s="647">
        <v>153</v>
      </c>
      <c r="E140" s="352" t="s">
        <v>262</v>
      </c>
      <c r="F140" s="513"/>
      <c r="G140" s="468"/>
      <c r="H140" s="241"/>
      <c r="I140" s="29"/>
      <c r="J140" s="425">
        <f t="shared" ref="J140:J142" si="30">LEN(K140)</f>
        <v>0</v>
      </c>
      <c r="K140" s="471"/>
      <c r="L140" s="697" t="str">
        <f t="shared" ref="L140:L142" si="31">IF(OR(I140="N",I140="P"),1,"")</f>
        <v/>
      </c>
      <c r="M140" s="719"/>
      <c r="N140" s="720"/>
      <c r="O140" s="720"/>
      <c r="P140" s="720"/>
      <c r="Q140" s="720"/>
      <c r="R140" s="720"/>
      <c r="S140" s="720"/>
      <c r="T140" s="721"/>
      <c r="U140" s="71"/>
      <c r="V140" s="464"/>
      <c r="W140" s="476"/>
      <c r="X140" s="522"/>
      <c r="Y140" s="522"/>
      <c r="Z140" s="522"/>
      <c r="AA140" s="522"/>
      <c r="AB140" s="522"/>
    </row>
    <row r="141" spans="1:28" ht="25.5" x14ac:dyDescent="0.25">
      <c r="A141" s="646" t="s">
        <v>248</v>
      </c>
      <c r="B141" s="7">
        <f>IF(  AND(ISNUMBER(C141),OR(ISNUMBER(D141),D141="PG")),IF(IF(Capa!$B$6="B",0,Capa!$B$6)&gt;=C141,1,0),"")</f>
        <v>0</v>
      </c>
      <c r="C141" s="17">
        <f t="shared" si="27"/>
        <v>2</v>
      </c>
      <c r="D141" s="647">
        <v>154</v>
      </c>
      <c r="E141" s="352" t="s">
        <v>263</v>
      </c>
      <c r="F141" s="513"/>
      <c r="G141" s="468"/>
      <c r="H141" s="241"/>
      <c r="I141" s="29"/>
      <c r="J141" s="425">
        <f t="shared" si="30"/>
        <v>0</v>
      </c>
      <c r="K141" s="471"/>
      <c r="L141" s="697" t="str">
        <f t="shared" si="31"/>
        <v/>
      </c>
      <c r="M141" s="719"/>
      <c r="N141" s="720"/>
      <c r="O141" s="720"/>
      <c r="P141" s="720"/>
      <c r="Q141" s="720"/>
      <c r="R141" s="720"/>
      <c r="S141" s="720"/>
      <c r="T141" s="721"/>
      <c r="U141" s="71"/>
      <c r="V141" s="464"/>
      <c r="W141" s="476"/>
      <c r="X141" s="522"/>
      <c r="Y141" s="522"/>
      <c r="Z141" s="522"/>
      <c r="AA141" s="522"/>
      <c r="AB141" s="522"/>
    </row>
    <row r="142" spans="1:28" ht="75" x14ac:dyDescent="0.25">
      <c r="A142" s="646" t="s">
        <v>248</v>
      </c>
      <c r="B142" s="7">
        <f>IF(  AND(ISNUMBER(C142),OR(ISNUMBER(D142),D142="PG")),IF(IF(Capa!$B$6="B",0,Capa!$B$6)&gt;=C142,1,0),"")</f>
        <v>0</v>
      </c>
      <c r="C142" s="17">
        <f t="shared" si="27"/>
        <v>2</v>
      </c>
      <c r="D142" s="647">
        <v>155</v>
      </c>
      <c r="E142" s="352" t="s">
        <v>264</v>
      </c>
      <c r="F142" s="513"/>
      <c r="G142" s="468"/>
      <c r="H142" s="241"/>
      <c r="I142" s="29"/>
      <c r="J142" s="425">
        <f t="shared" si="30"/>
        <v>0</v>
      </c>
      <c r="K142" s="471"/>
      <c r="L142" s="697" t="str">
        <f t="shared" si="31"/>
        <v/>
      </c>
      <c r="M142" s="719"/>
      <c r="N142" s="720"/>
      <c r="O142" s="720"/>
      <c r="P142" s="720"/>
      <c r="Q142" s="720"/>
      <c r="R142" s="720"/>
      <c r="S142" s="720"/>
      <c r="T142" s="721"/>
      <c r="U142" s="71"/>
      <c r="V142" s="464"/>
      <c r="W142" s="476"/>
      <c r="X142" s="522"/>
      <c r="Y142" s="522"/>
      <c r="Z142" s="522"/>
      <c r="AA142" s="522"/>
      <c r="AB142" s="522"/>
    </row>
    <row r="143" spans="1:28" ht="6" customHeight="1" x14ac:dyDescent="0.25">
      <c r="A143" s="646" t="s">
        <v>248</v>
      </c>
      <c r="B143" s="7" t="str">
        <f>IF(  AND(ISNUMBER(C143),OR(ISNUMBER(D143),D143="PG")),IF(IF(Capa!$B$6="B",0,Capa!$B$6)&gt;=C143,1,0),"")</f>
        <v/>
      </c>
      <c r="C143" s="17">
        <f t="shared" si="27"/>
        <v>3</v>
      </c>
      <c r="D143" s="647" t="s">
        <v>70</v>
      </c>
      <c r="E143" s="352"/>
      <c r="F143" s="513"/>
      <c r="G143" s="468"/>
      <c r="H143" s="241"/>
      <c r="I143" s="29"/>
      <c r="J143" s="239"/>
      <c r="K143" s="471"/>
      <c r="L143" s="240"/>
      <c r="M143" s="731"/>
      <c r="N143" s="732"/>
      <c r="O143" s="732"/>
      <c r="P143" s="732"/>
      <c r="Q143" s="732"/>
      <c r="R143" s="732"/>
      <c r="S143" s="732"/>
      <c r="T143" s="733"/>
      <c r="U143" s="71"/>
      <c r="V143" s="464"/>
      <c r="W143" s="476"/>
      <c r="X143" s="522"/>
      <c r="Y143" s="522"/>
      <c r="Z143" s="522"/>
      <c r="AA143" s="522"/>
      <c r="AB143" s="522"/>
    </row>
    <row r="144" spans="1:28" ht="45" x14ac:dyDescent="0.25">
      <c r="A144" s="646" t="s">
        <v>248</v>
      </c>
      <c r="B144" s="7" t="str">
        <f>IF(  AND(ISNUMBER(C144),OR(ISNUMBER(D144),D144="PG")),IF(IF(Capa!$B$6="B",0,Capa!$B$6)&gt;=C144,1,0),"")</f>
        <v/>
      </c>
      <c r="C144" s="17">
        <f t="shared" si="27"/>
        <v>3</v>
      </c>
      <c r="D144" s="647" t="s">
        <v>200</v>
      </c>
      <c r="E144" s="650" t="s">
        <v>261</v>
      </c>
      <c r="F144" s="519"/>
      <c r="G144" s="495"/>
      <c r="H144" s="384"/>
      <c r="I144" s="130"/>
      <c r="J144" s="253"/>
      <c r="K144" s="493"/>
      <c r="L144" s="240"/>
      <c r="M144" s="731"/>
      <c r="N144" s="732"/>
      <c r="O144" s="732"/>
      <c r="P144" s="732"/>
      <c r="Q144" s="732"/>
      <c r="R144" s="732"/>
      <c r="S144" s="732"/>
      <c r="T144" s="733"/>
      <c r="U144" s="71"/>
      <c r="V144" s="464"/>
      <c r="W144" s="476"/>
      <c r="X144" s="522"/>
      <c r="Y144" s="522"/>
      <c r="Z144" s="522"/>
      <c r="AA144" s="522"/>
      <c r="AB144" s="522"/>
    </row>
    <row r="145" spans="1:28" ht="25.5" x14ac:dyDescent="0.25">
      <c r="A145" s="646" t="s">
        <v>248</v>
      </c>
      <c r="B145" s="7">
        <f>IF(  AND(ISNUMBER(C145),OR(ISNUMBER(D145),D145="PG")),IF(IF(Capa!$B$6="B",0,Capa!$B$6)&gt;=C145,1,0),"")</f>
        <v>0</v>
      </c>
      <c r="C145" s="17">
        <f t="shared" si="27"/>
        <v>3</v>
      </c>
      <c r="D145" s="647">
        <v>156</v>
      </c>
      <c r="E145" s="398" t="s">
        <v>221</v>
      </c>
      <c r="F145" s="513"/>
      <c r="G145" s="468"/>
      <c r="H145" s="241"/>
      <c r="I145" s="29"/>
      <c r="J145" s="425">
        <f t="shared" ref="J145:J146" si="32">LEN(K145)</f>
        <v>0</v>
      </c>
      <c r="K145" s="471"/>
      <c r="L145" s="697" t="str">
        <f t="shared" ref="L145:L146" si="33">IF(OR(I145="N",I145="P"),1,"")</f>
        <v/>
      </c>
      <c r="M145" s="719"/>
      <c r="N145" s="720"/>
      <c r="O145" s="720"/>
      <c r="P145" s="720"/>
      <c r="Q145" s="720"/>
      <c r="R145" s="720"/>
      <c r="S145" s="720"/>
      <c r="T145" s="721"/>
      <c r="U145" s="71"/>
      <c r="V145" s="464"/>
      <c r="W145" s="476"/>
      <c r="X145" s="522"/>
      <c r="Y145" s="522"/>
      <c r="Z145" s="522"/>
      <c r="AA145" s="522"/>
      <c r="AB145" s="522"/>
    </row>
    <row r="146" spans="1:28" ht="32.450000000000003" customHeight="1" x14ac:dyDescent="0.25">
      <c r="A146" s="646" t="s">
        <v>248</v>
      </c>
      <c r="B146" s="7">
        <f>IF(  AND(ISNUMBER(C146),OR(ISNUMBER(D146),D146="PG")),IF(IF(Capa!$B$6="B",0,Capa!$B$6)&gt;=C146,1,0),"")</f>
        <v>0</v>
      </c>
      <c r="C146" s="17">
        <f t="shared" si="27"/>
        <v>3</v>
      </c>
      <c r="D146" s="647">
        <v>157</v>
      </c>
      <c r="E146" s="398" t="s">
        <v>222</v>
      </c>
      <c r="F146" s="513"/>
      <c r="G146" s="468"/>
      <c r="H146" s="241"/>
      <c r="I146" s="29"/>
      <c r="J146" s="425">
        <f t="shared" si="32"/>
        <v>0</v>
      </c>
      <c r="K146" s="471"/>
      <c r="L146" s="697" t="str">
        <f t="shared" si="33"/>
        <v/>
      </c>
      <c r="M146" s="719"/>
      <c r="N146" s="720"/>
      <c r="O146" s="720"/>
      <c r="P146" s="720"/>
      <c r="Q146" s="720"/>
      <c r="R146" s="720"/>
      <c r="S146" s="720"/>
      <c r="T146" s="721"/>
      <c r="U146" s="71"/>
      <c r="V146" s="464"/>
      <c r="W146" s="476"/>
      <c r="X146" s="522"/>
      <c r="Y146" s="522"/>
      <c r="Z146" s="522"/>
      <c r="AA146" s="522"/>
      <c r="AB146" s="522"/>
    </row>
    <row r="147" spans="1:28" ht="9.6" customHeight="1" x14ac:dyDescent="0.25">
      <c r="B147" s="7" t="str">
        <f>IF(  AND(ISNUMBER(C147),OR(ISNUMBER(D147),D147="PG")),IF(IF(Capa!$B$6="B",0,Capa!$B$6)&gt;=C147,1,0),"")</f>
        <v/>
      </c>
      <c r="C147" s="17" t="str">
        <f t="shared" si="27"/>
        <v/>
      </c>
      <c r="D147" s="225"/>
      <c r="E147" s="401"/>
      <c r="F147" s="123"/>
      <c r="G147" s="227"/>
      <c r="H147" s="227"/>
      <c r="I147" s="123"/>
      <c r="J147" s="227"/>
      <c r="K147" s="692"/>
      <c r="L147" s="227"/>
      <c r="M147" s="119"/>
      <c r="N147" s="119"/>
      <c r="O147" s="119"/>
      <c r="P147" s="119"/>
      <c r="Q147" s="119"/>
      <c r="R147" s="119"/>
      <c r="S147" s="229"/>
      <c r="T147" s="229"/>
      <c r="U147" s="454"/>
      <c r="V147" s="544"/>
      <c r="W147" s="121"/>
      <c r="X147" s="522"/>
      <c r="Y147" s="522"/>
      <c r="Z147" s="522"/>
      <c r="AA147" s="522"/>
      <c r="AB147" s="522"/>
    </row>
    <row r="148" spans="1:28" x14ac:dyDescent="0.25">
      <c r="A148" s="210" t="s">
        <v>265</v>
      </c>
      <c r="B148" s="7" t="str">
        <f>IF(  AND(ISNUMBER(C148),OR(ISNUMBER(D148),D148="PG")),IF(IF(Capa!$B$6="B",0,Capa!$B$6)&gt;=C148,1,0),"")</f>
        <v/>
      </c>
      <c r="C148" s="17" t="str">
        <f t="shared" si="27"/>
        <v/>
      </c>
      <c r="D148" s="15"/>
      <c r="E148" s="395" t="s">
        <v>266</v>
      </c>
      <c r="F148" s="517"/>
      <c r="G148" s="550"/>
      <c r="H148" s="219"/>
      <c r="I148" s="23"/>
      <c r="J148" s="219"/>
      <c r="K148" s="528"/>
      <c r="L148" s="383">
        <f>IF(AND($B150=1,D150="PG"),IF(COUNTIFS($A$1:$A$240,"="&amp;$A148,$B$1:$B$240,"&gt;0",$D$1:$D$240,"&gt;0")&gt;0,
        (COUNTIFS($A$1:$A$240,"="&amp;$A148,$B$1:$B$240,"&gt;0",$D$1:$D$240,"&gt;0",F$1:F$240,"=S",I$1:I$240,"") +
         (COUNTIFS($A$1:$A$240,"="&amp;$A148,$B$1:$B$240,"&gt;0",$D$1:$D$240,"&gt;0",$F$1:$F$240,"=P",I$1:I$240,"")/2) +
         COUNTIFS($A$1:$A$240,"="&amp;$A148,$B$1:$B$240,"&gt;0",$D$1:$D$240,"&gt;0",I$1:I$240,"=S") +
         (COUNTIFS($A$1:$A$240,"="&amp;$A148,$B$1:$B$240,"&gt;0",$D$1:$D$240,"&gt;0",I$1:I$240,"=P")/2)
         )/COUNTIFS($A$1:$A$240,"="&amp;$A148,$B$1:$B$240,"&gt;0",$D$1:$D$240,"&gt;0"),1),"")</f>
        <v>0</v>
      </c>
      <c r="M148" s="380"/>
      <c r="N148" s="70"/>
      <c r="O148" s="68"/>
      <c r="P148" s="68"/>
      <c r="Q148" s="83">
        <f>IF(L148="","",MIN(IF(ISBLANK(Q150),0,Q150),IF(L148&gt;=0.9,4,IF(L148&gt;=0.7,3,IF(L148&gt;=0.5,2,IF(OR(L148&gt;0,Q150&gt;0),1,0))))))</f>
        <v>0</v>
      </c>
      <c r="R148" s="68"/>
      <c r="S148" s="68"/>
      <c r="T148" s="68"/>
      <c r="U148" s="68"/>
      <c r="V148" s="545"/>
      <c r="W148" s="66"/>
      <c r="X148" s="579"/>
      <c r="Y148" s="579"/>
      <c r="Z148" s="579"/>
      <c r="AA148" s="579"/>
      <c r="AB148" s="579"/>
    </row>
    <row r="149" spans="1:28" ht="8.4499999999999993" customHeight="1" x14ac:dyDescent="0.25">
      <c r="A149" s="210" t="s">
        <v>265</v>
      </c>
      <c r="B149" s="7" t="str">
        <f>IF(  AND(ISNUMBER(C149),OR(ISNUMBER(D149),D149="PG")),IF(IF(Capa!$B$6="B",0,Capa!$B$6)&gt;=C149,1,0),"")</f>
        <v/>
      </c>
      <c r="C149" s="17">
        <f t="shared" si="27"/>
        <v>0</v>
      </c>
      <c r="D149" s="18" t="s">
        <v>53</v>
      </c>
      <c r="E149" s="394"/>
      <c r="F149" s="516"/>
      <c r="G149" s="551"/>
      <c r="H149" s="239"/>
      <c r="I149" s="26"/>
      <c r="J149" s="239"/>
      <c r="K149" s="529"/>
      <c r="L149" s="242"/>
      <c r="M149" s="120"/>
      <c r="N149" s="120"/>
      <c r="O149" s="120"/>
      <c r="P149" s="120"/>
      <c r="Q149" s="120"/>
      <c r="R149" s="120"/>
      <c r="S149" s="281"/>
      <c r="T149" s="281"/>
      <c r="U149" s="355"/>
      <c r="V149" s="465"/>
      <c r="W149" s="478"/>
      <c r="X149" s="522"/>
      <c r="Y149" s="522"/>
      <c r="Z149" s="522"/>
      <c r="AA149" s="522"/>
      <c r="AB149" s="522"/>
    </row>
    <row r="150" spans="1:28" ht="63.75" x14ac:dyDescent="0.25">
      <c r="A150" s="646" t="s">
        <v>265</v>
      </c>
      <c r="B150" s="7">
        <f>IF(  AND(ISNUMBER(C150),OR(ISNUMBER(D150),D150="PG")),IF(IF(Capa!$B$6="B",0,Capa!$B$6)&gt;=C150,1,0),"")</f>
        <v>1</v>
      </c>
      <c r="C150" s="17">
        <f t="shared" si="27"/>
        <v>0</v>
      </c>
      <c r="D150" s="647" t="s">
        <v>54</v>
      </c>
      <c r="E150" s="389" t="s">
        <v>267</v>
      </c>
      <c r="F150" s="513"/>
      <c r="G150" s="468"/>
      <c r="H150" s="241"/>
      <c r="I150" s="29"/>
      <c r="J150" s="239"/>
      <c r="K150" s="471"/>
      <c r="L150" s="697" t="str">
        <f>IF(OR(AND(NOT(ISBLANK(M150)),M150&lt;IF(Capa!$B$6&lt;&gt;"B",Capa!$B$6+1,1)),AND(NOT(ISBLANK(N150)),N150&lt;IF(Capa!$B$6&lt;&gt;"B",Capa!$B$6+1,1)),AND(NOT(ISBLANK(O150)),O150&lt;IF(Capa!$B$6&lt;&gt;"B",Capa!$B$6+1,1)),AND(NOT(ISBLANK(Q150)),Q150&lt;IF(Capa!$B$6&lt;&gt;"B",Capa!$B$6+1,1)),AND(NOT(ISBLANK(R150)),R150&lt;IF(Capa!$B$6&lt;&gt;"B",Capa!$B$6+1,1)),AND(NOT(ISBLANK(S150)),S150&lt;IF(Capa!$B$6&lt;&gt;"B",Capa!$B$6+1,1))),1,"")</f>
        <v/>
      </c>
      <c r="M150" s="81"/>
      <c r="N150" s="81"/>
      <c r="O150" s="81"/>
      <c r="P150" s="81"/>
      <c r="Q150" s="81"/>
      <c r="R150" s="81"/>
      <c r="S150" s="81"/>
      <c r="T150" s="81"/>
      <c r="U150" s="58"/>
      <c r="V150" s="464"/>
      <c r="W150" s="476"/>
      <c r="X150" s="666"/>
      <c r="Y150" s="522"/>
      <c r="Z150" s="522"/>
      <c r="AA150" s="522"/>
      <c r="AB150" s="522"/>
    </row>
    <row r="151" spans="1:28" ht="75" x14ac:dyDescent="0.25">
      <c r="A151" s="646" t="s">
        <v>265</v>
      </c>
      <c r="B151" s="7">
        <f>IF(  AND(ISNUMBER(C151),OR(ISNUMBER(D151),D151="PG")),IF(IF(Capa!$B$6="B",0,Capa!$B$6)&gt;=C151,1,0),"")</f>
        <v>1</v>
      </c>
      <c r="C151" s="17">
        <f t="shared" si="27"/>
        <v>0</v>
      </c>
      <c r="D151" s="647">
        <v>158</v>
      </c>
      <c r="E151" s="352" t="s">
        <v>268</v>
      </c>
      <c r="F151" s="513"/>
      <c r="G151" s="468"/>
      <c r="H151" s="241"/>
      <c r="I151" s="29"/>
      <c r="J151" s="425">
        <f t="shared" ref="J151:J162" si="34">LEN(K151)</f>
        <v>0</v>
      </c>
      <c r="K151" s="471"/>
      <c r="L151" s="697" t="str">
        <f t="shared" ref="L151:L162" si="35">IF(OR(I151="N",I151="P"),1,"")</f>
        <v/>
      </c>
      <c r="M151" s="719"/>
      <c r="N151" s="720"/>
      <c r="O151" s="720"/>
      <c r="P151" s="720"/>
      <c r="Q151" s="720"/>
      <c r="R151" s="720"/>
      <c r="S151" s="720"/>
      <c r="T151" s="721"/>
      <c r="U151" s="71"/>
      <c r="V151" s="464"/>
      <c r="W151" s="476"/>
      <c r="X151" s="522"/>
      <c r="Y151" s="522"/>
      <c r="Z151" s="522"/>
      <c r="AA151" s="522"/>
      <c r="AB151" s="522"/>
    </row>
    <row r="152" spans="1:28" ht="8.4499999999999993" customHeight="1" x14ac:dyDescent="0.25">
      <c r="A152" s="646" t="s">
        <v>265</v>
      </c>
      <c r="B152" s="7" t="str">
        <f>IF(  AND(ISNUMBER(C152),OR(ISNUMBER(D152),D152="PG")),IF(IF(Capa!$B$6="B",0,Capa!$B$6)&gt;=C152,1,0),"")</f>
        <v/>
      </c>
      <c r="C152" s="17">
        <f t="shared" si="27"/>
        <v>1</v>
      </c>
      <c r="D152" s="647" t="s">
        <v>62</v>
      </c>
      <c r="E152" s="352"/>
      <c r="F152" s="513"/>
      <c r="G152" s="468"/>
      <c r="H152" s="241"/>
      <c r="I152" s="29"/>
      <c r="J152" s="425">
        <f t="shared" si="34"/>
        <v>0</v>
      </c>
      <c r="K152" s="471"/>
      <c r="L152" s="697" t="str">
        <f t="shared" si="35"/>
        <v/>
      </c>
      <c r="M152" s="719"/>
      <c r="N152" s="720"/>
      <c r="O152" s="720"/>
      <c r="P152" s="720"/>
      <c r="Q152" s="720"/>
      <c r="R152" s="720"/>
      <c r="S152" s="720"/>
      <c r="T152" s="721"/>
      <c r="U152" s="71"/>
      <c r="V152" s="464"/>
      <c r="W152" s="476"/>
      <c r="X152" s="522"/>
      <c r="Y152" s="522"/>
      <c r="Z152" s="522"/>
      <c r="AA152" s="522"/>
      <c r="AB152" s="522"/>
    </row>
    <row r="153" spans="1:28" ht="45" x14ac:dyDescent="0.25">
      <c r="A153" s="646" t="s">
        <v>265</v>
      </c>
      <c r="B153" s="7">
        <f>IF(  AND(ISNUMBER(C153),OR(ISNUMBER(D153),D153="PG")),IF(IF(Capa!$B$6="B",0,Capa!$B$6)&gt;=C153,1,0),"")</f>
        <v>0</v>
      </c>
      <c r="C153" s="17">
        <f t="shared" si="27"/>
        <v>1</v>
      </c>
      <c r="D153" s="647">
        <v>159</v>
      </c>
      <c r="E153" s="352" t="s">
        <v>269</v>
      </c>
      <c r="F153" s="513"/>
      <c r="G153" s="468"/>
      <c r="H153" s="241"/>
      <c r="I153" s="29"/>
      <c r="J153" s="425">
        <f t="shared" si="34"/>
        <v>0</v>
      </c>
      <c r="K153" s="471"/>
      <c r="L153" s="697" t="str">
        <f t="shared" si="35"/>
        <v/>
      </c>
      <c r="M153" s="719"/>
      <c r="N153" s="720"/>
      <c r="O153" s="720"/>
      <c r="P153" s="720"/>
      <c r="Q153" s="720"/>
      <c r="R153" s="720"/>
      <c r="S153" s="720"/>
      <c r="T153" s="721"/>
      <c r="U153" s="71"/>
      <c r="V153" s="464"/>
      <c r="W153" s="476"/>
      <c r="X153" s="522"/>
      <c r="Y153" s="522"/>
      <c r="Z153" s="522"/>
      <c r="AA153" s="522"/>
      <c r="AB153" s="522"/>
    </row>
    <row r="154" spans="1:28" ht="45" x14ac:dyDescent="0.25">
      <c r="A154" s="646" t="s">
        <v>265</v>
      </c>
      <c r="B154" s="7">
        <f>IF(  AND(ISNUMBER(C154),OR(ISNUMBER(D154),D154="PG")),IF(IF(Capa!$B$6="B",0,Capa!$B$6)&gt;=C154,1,0),"")</f>
        <v>0</v>
      </c>
      <c r="C154" s="17">
        <f t="shared" si="27"/>
        <v>1</v>
      </c>
      <c r="D154" s="647">
        <v>160</v>
      </c>
      <c r="E154" s="352" t="s">
        <v>270</v>
      </c>
      <c r="F154" s="513"/>
      <c r="G154" s="468"/>
      <c r="H154" s="241"/>
      <c r="I154" s="29"/>
      <c r="J154" s="425">
        <f t="shared" si="34"/>
        <v>0</v>
      </c>
      <c r="K154" s="471"/>
      <c r="L154" s="697" t="str">
        <f t="shared" si="35"/>
        <v/>
      </c>
      <c r="M154" s="719"/>
      <c r="N154" s="720"/>
      <c r="O154" s="720"/>
      <c r="P154" s="720"/>
      <c r="Q154" s="720"/>
      <c r="R154" s="720"/>
      <c r="S154" s="720"/>
      <c r="T154" s="721"/>
      <c r="U154" s="71"/>
      <c r="V154" s="464"/>
      <c r="W154" s="476"/>
      <c r="X154" s="522"/>
      <c r="Y154" s="522"/>
      <c r="Z154" s="522"/>
      <c r="AA154" s="522"/>
      <c r="AB154" s="522"/>
    </row>
    <row r="155" spans="1:28" ht="60" x14ac:dyDescent="0.25">
      <c r="A155" s="646" t="s">
        <v>265</v>
      </c>
      <c r="B155" s="7">
        <f>IF(  AND(ISNUMBER(C155),OR(ISNUMBER(D155),D155="PG")),IF(IF(Capa!$B$6="B",0,Capa!$B$6)&gt;=C155,1,0),"")</f>
        <v>0</v>
      </c>
      <c r="C155" s="17">
        <f t="shared" si="27"/>
        <v>1</v>
      </c>
      <c r="D155" s="647">
        <v>161</v>
      </c>
      <c r="E155" s="352" t="s">
        <v>271</v>
      </c>
      <c r="F155" s="513"/>
      <c r="G155" s="468"/>
      <c r="H155" s="241"/>
      <c r="I155" s="29"/>
      <c r="J155" s="425">
        <f t="shared" si="34"/>
        <v>0</v>
      </c>
      <c r="K155" s="471"/>
      <c r="L155" s="697" t="str">
        <f t="shared" si="35"/>
        <v/>
      </c>
      <c r="M155" s="719"/>
      <c r="N155" s="720"/>
      <c r="O155" s="720"/>
      <c r="P155" s="720"/>
      <c r="Q155" s="720"/>
      <c r="R155" s="720"/>
      <c r="S155" s="720"/>
      <c r="T155" s="721"/>
      <c r="U155" s="71"/>
      <c r="V155" s="464"/>
      <c r="W155" s="476"/>
      <c r="X155" s="522"/>
      <c r="Y155" s="522"/>
      <c r="Z155" s="522"/>
      <c r="AA155" s="522"/>
      <c r="AB155" s="522"/>
    </row>
    <row r="156" spans="1:28" ht="7.9" customHeight="1" x14ac:dyDescent="0.25">
      <c r="A156" s="646" t="s">
        <v>265</v>
      </c>
      <c r="B156" s="7" t="str">
        <f>IF(  AND(ISNUMBER(C156),OR(ISNUMBER(D156),D156="PG")),IF(IF(Capa!$B$6="B",0,Capa!$B$6)&gt;=C156,1,0),"")</f>
        <v/>
      </c>
      <c r="C156" s="17">
        <f t="shared" si="27"/>
        <v>3</v>
      </c>
      <c r="D156" s="647" t="s">
        <v>70</v>
      </c>
      <c r="E156" s="352"/>
      <c r="F156" s="513"/>
      <c r="G156" s="468"/>
      <c r="H156" s="241"/>
      <c r="I156" s="29"/>
      <c r="J156" s="425">
        <f t="shared" si="34"/>
        <v>0</v>
      </c>
      <c r="K156" s="471"/>
      <c r="L156" s="697" t="str">
        <f t="shared" si="35"/>
        <v/>
      </c>
      <c r="M156" s="719"/>
      <c r="N156" s="720"/>
      <c r="O156" s="720"/>
      <c r="P156" s="720"/>
      <c r="Q156" s="720"/>
      <c r="R156" s="720"/>
      <c r="S156" s="720"/>
      <c r="T156" s="721"/>
      <c r="U156" s="71"/>
      <c r="V156" s="464"/>
      <c r="W156" s="476"/>
      <c r="X156" s="522"/>
      <c r="Y156" s="522"/>
      <c r="Z156" s="522"/>
      <c r="AA156" s="522"/>
      <c r="AB156" s="522"/>
    </row>
    <row r="157" spans="1:28" ht="45" x14ac:dyDescent="0.25">
      <c r="A157" s="646" t="s">
        <v>265</v>
      </c>
      <c r="B157" s="7">
        <f>IF(  AND(ISNUMBER(C157),OR(ISNUMBER(D157),D157="PG")),IF(IF(Capa!$B$6="B",0,Capa!$B$6)&gt;=C157,1,0),"")</f>
        <v>0</v>
      </c>
      <c r="C157" s="17">
        <f t="shared" si="27"/>
        <v>3</v>
      </c>
      <c r="D157" s="647">
        <v>162</v>
      </c>
      <c r="E157" s="352" t="s">
        <v>272</v>
      </c>
      <c r="F157" s="513"/>
      <c r="G157" s="468"/>
      <c r="H157" s="241"/>
      <c r="I157" s="29"/>
      <c r="J157" s="425">
        <f t="shared" si="34"/>
        <v>0</v>
      </c>
      <c r="K157" s="471"/>
      <c r="L157" s="697" t="str">
        <f t="shared" si="35"/>
        <v/>
      </c>
      <c r="M157" s="719"/>
      <c r="N157" s="720"/>
      <c r="O157" s="720"/>
      <c r="P157" s="720"/>
      <c r="Q157" s="720"/>
      <c r="R157" s="720"/>
      <c r="S157" s="720"/>
      <c r="T157" s="721"/>
      <c r="U157" s="71"/>
      <c r="V157" s="464"/>
      <c r="W157" s="476"/>
      <c r="X157" s="522"/>
      <c r="Y157" s="522"/>
      <c r="Z157" s="522"/>
      <c r="AA157" s="522"/>
      <c r="AB157" s="522"/>
    </row>
    <row r="158" spans="1:28" ht="45" x14ac:dyDescent="0.25">
      <c r="A158" s="646" t="s">
        <v>265</v>
      </c>
      <c r="B158" s="7">
        <f>IF(  AND(ISNUMBER(C158),OR(ISNUMBER(D158),D158="PG")),IF(IF(Capa!$B$6="B",0,Capa!$B$6)&gt;=C158,1,0),"")</f>
        <v>0</v>
      </c>
      <c r="C158" s="17">
        <f t="shared" si="27"/>
        <v>3</v>
      </c>
      <c r="D158" s="647">
        <v>163</v>
      </c>
      <c r="E158" s="352" t="s">
        <v>273</v>
      </c>
      <c r="F158" s="513"/>
      <c r="G158" s="468"/>
      <c r="H158" s="241"/>
      <c r="I158" s="29"/>
      <c r="J158" s="425">
        <f t="shared" si="34"/>
        <v>0</v>
      </c>
      <c r="K158" s="471"/>
      <c r="L158" s="697" t="str">
        <f t="shared" si="35"/>
        <v/>
      </c>
      <c r="M158" s="719"/>
      <c r="N158" s="720"/>
      <c r="O158" s="720"/>
      <c r="P158" s="720"/>
      <c r="Q158" s="720"/>
      <c r="R158" s="720"/>
      <c r="S158" s="720"/>
      <c r="T158" s="721"/>
      <c r="U158" s="71"/>
      <c r="V158" s="464"/>
      <c r="W158" s="476"/>
      <c r="X158" s="522"/>
      <c r="Y158" s="522"/>
      <c r="Z158" s="522"/>
      <c r="AA158" s="522"/>
      <c r="AB158" s="522"/>
    </row>
    <row r="159" spans="1:28" ht="45" x14ac:dyDescent="0.25">
      <c r="A159" s="646" t="s">
        <v>265</v>
      </c>
      <c r="B159" s="7">
        <f>IF(  AND(ISNUMBER(C159),OR(ISNUMBER(D159),D159="PG")),IF(IF(Capa!$B$6="B",0,Capa!$B$6)&gt;=C159,1,0),"")</f>
        <v>0</v>
      </c>
      <c r="C159" s="17">
        <f t="shared" si="27"/>
        <v>3</v>
      </c>
      <c r="D159" s="647">
        <v>164</v>
      </c>
      <c r="E159" s="398" t="s">
        <v>274</v>
      </c>
      <c r="F159" s="513"/>
      <c r="G159" s="468"/>
      <c r="H159" s="241"/>
      <c r="I159" s="29"/>
      <c r="J159" s="425">
        <f t="shared" si="34"/>
        <v>0</v>
      </c>
      <c r="K159" s="471"/>
      <c r="L159" s="697" t="str">
        <f t="shared" si="35"/>
        <v/>
      </c>
      <c r="M159" s="719"/>
      <c r="N159" s="720"/>
      <c r="O159" s="720"/>
      <c r="P159" s="720"/>
      <c r="Q159" s="720"/>
      <c r="R159" s="720"/>
      <c r="S159" s="720"/>
      <c r="T159" s="721"/>
      <c r="U159" s="71"/>
      <c r="V159" s="464"/>
      <c r="W159" s="476"/>
      <c r="X159" s="522"/>
      <c r="Y159" s="522"/>
      <c r="Z159" s="522"/>
      <c r="AA159" s="522"/>
      <c r="AB159" s="522"/>
    </row>
    <row r="160" spans="1:28" ht="90" x14ac:dyDescent="0.25">
      <c r="A160" s="646" t="s">
        <v>265</v>
      </c>
      <c r="B160" s="7">
        <f>IF(  AND(ISNUMBER(C160),OR(ISNUMBER(D160),D160="PG")),IF(IF(Capa!$B$6="B",0,Capa!$B$6)&gt;=C160,1,0),"")</f>
        <v>0</v>
      </c>
      <c r="C160" s="17">
        <f t="shared" si="27"/>
        <v>3</v>
      </c>
      <c r="D160" s="647">
        <v>165</v>
      </c>
      <c r="E160" s="411" t="s">
        <v>275</v>
      </c>
      <c r="F160" s="513"/>
      <c r="G160" s="468"/>
      <c r="H160" s="241"/>
      <c r="I160" s="29"/>
      <c r="J160" s="425">
        <f t="shared" si="34"/>
        <v>0</v>
      </c>
      <c r="K160" s="471"/>
      <c r="L160" s="697" t="str">
        <f t="shared" si="35"/>
        <v/>
      </c>
      <c r="M160" s="719"/>
      <c r="N160" s="720"/>
      <c r="O160" s="720"/>
      <c r="P160" s="720"/>
      <c r="Q160" s="720"/>
      <c r="R160" s="720"/>
      <c r="S160" s="720"/>
      <c r="T160" s="721"/>
      <c r="U160" s="71"/>
      <c r="V160" s="464"/>
      <c r="W160" s="476"/>
      <c r="X160" s="522"/>
      <c r="Y160" s="522"/>
      <c r="Z160" s="522"/>
      <c r="AA160" s="522"/>
      <c r="AB160" s="522"/>
    </row>
    <row r="161" spans="1:28" ht="45" x14ac:dyDescent="0.25">
      <c r="A161" s="646" t="s">
        <v>265</v>
      </c>
      <c r="B161" s="7">
        <f>IF(  AND(ISNUMBER(C161),OR(ISNUMBER(D161),D161="PG")),IF(IF(Capa!$B$6="B",0,Capa!$B$6)&gt;=C161,1,0),"")</f>
        <v>0</v>
      </c>
      <c r="C161" s="17">
        <f t="shared" si="27"/>
        <v>3</v>
      </c>
      <c r="D161" s="647">
        <v>166</v>
      </c>
      <c r="E161" s="411" t="s">
        <v>276</v>
      </c>
      <c r="F161" s="513"/>
      <c r="G161" s="468"/>
      <c r="H161" s="241"/>
      <c r="I161" s="29"/>
      <c r="J161" s="425">
        <f t="shared" si="34"/>
        <v>0</v>
      </c>
      <c r="K161" s="471"/>
      <c r="L161" s="697" t="str">
        <f t="shared" si="35"/>
        <v/>
      </c>
      <c r="M161" s="719"/>
      <c r="N161" s="720"/>
      <c r="O161" s="720"/>
      <c r="P161" s="720"/>
      <c r="Q161" s="720"/>
      <c r="R161" s="720"/>
      <c r="S161" s="720"/>
      <c r="T161" s="721"/>
      <c r="U161" s="71"/>
      <c r="V161" s="464"/>
      <c r="W161" s="476"/>
      <c r="X161" s="522"/>
      <c r="Y161" s="522"/>
      <c r="Z161" s="522"/>
      <c r="AA161" s="522"/>
      <c r="AB161" s="522"/>
    </row>
    <row r="162" spans="1:28" ht="45" x14ac:dyDescent="0.25">
      <c r="A162" s="646" t="s">
        <v>265</v>
      </c>
      <c r="B162" s="7">
        <f>IF(  AND(ISNUMBER(C162),OR(ISNUMBER(D162),D162="PG")),IF(IF(Capa!$B$6="B",0,Capa!$B$6)&gt;=C162,1,0),"")</f>
        <v>0</v>
      </c>
      <c r="C162" s="17">
        <f t="shared" si="27"/>
        <v>3</v>
      </c>
      <c r="D162" s="647">
        <v>167</v>
      </c>
      <c r="E162" s="411" t="s">
        <v>277</v>
      </c>
      <c r="F162" s="513"/>
      <c r="G162" s="468"/>
      <c r="H162" s="241"/>
      <c r="I162" s="29"/>
      <c r="J162" s="425">
        <f t="shared" si="34"/>
        <v>0</v>
      </c>
      <c r="K162" s="471"/>
      <c r="L162" s="697" t="str">
        <f t="shared" si="35"/>
        <v/>
      </c>
      <c r="M162" s="719"/>
      <c r="N162" s="720"/>
      <c r="O162" s="720"/>
      <c r="P162" s="720"/>
      <c r="Q162" s="720"/>
      <c r="R162" s="720"/>
      <c r="S162" s="720"/>
      <c r="T162" s="721"/>
      <c r="U162" s="71"/>
      <c r="V162" s="464"/>
      <c r="W162" s="476"/>
      <c r="X162" s="522"/>
      <c r="Y162" s="522"/>
      <c r="Z162" s="522"/>
      <c r="AA162" s="522"/>
      <c r="AB162" s="522"/>
    </row>
    <row r="163" spans="1:28" ht="9.6" customHeight="1" x14ac:dyDescent="0.25">
      <c r="B163" s="7" t="str">
        <f>IF(  AND(ISNUMBER(C163),OR(ISNUMBER(D163),D163="PG")),IF(IF(Capa!$B$6="B",0,Capa!$B$6)&gt;=C163,1,0),"")</f>
        <v/>
      </c>
      <c r="C163" s="118" t="str">
        <f t="shared" ref="C163" si="36">IF(ISBLANK(D163),"",IF(ISERR(SEARCH(D163&amp;"\","&lt;B&gt;\&lt;1&gt;\&lt;2&gt;\&lt;3&gt;\")),IF(AND(NOT(ISBLANK(C162)),C162&lt;=3),C162,""),
IF(SEARCH(D163&amp;"\","&lt;B&gt;\&lt;1&gt;\&lt;2&gt;\&lt;3&gt;\")=1,0,IF(SEARCH(D163&amp;"\","&lt;B&gt;\&lt;1&gt;\&lt;2&gt;\&lt;3&gt;\")=5,1,IF(SEARCH(D163&amp;"\","&lt;B&gt;\&lt;1&gt;\&lt;2&gt;\&lt;3&gt;\")=9,2,IF(SEARCH(D163&amp;"\","&lt;B&gt;\&lt;1&gt;\&lt;2&gt;\&lt;3&gt;\")=13,3,""))))))</f>
        <v/>
      </c>
      <c r="D163" s="225"/>
      <c r="E163" s="401"/>
      <c r="F163" s="123"/>
      <c r="G163" s="227"/>
      <c r="H163" s="227"/>
      <c r="I163" s="123"/>
      <c r="J163" s="227"/>
      <c r="K163" s="228"/>
      <c r="L163" s="246"/>
      <c r="M163" s="120"/>
      <c r="N163" s="120"/>
      <c r="O163" s="120"/>
      <c r="P163" s="120"/>
      <c r="Q163" s="120"/>
      <c r="R163" s="120"/>
      <c r="S163" s="281"/>
      <c r="T163" s="281"/>
      <c r="U163" s="613"/>
      <c r="V163" s="544"/>
      <c r="W163" s="121"/>
      <c r="X163" s="522"/>
      <c r="Y163" s="522"/>
      <c r="Z163" s="522"/>
      <c r="AA163" s="522"/>
      <c r="AB163" s="522"/>
    </row>
    <row r="164" spans="1:28" s="214" customFormat="1" x14ac:dyDescent="0.25">
      <c r="A164" s="266"/>
      <c r="B164" s="266"/>
      <c r="C164" s="54"/>
      <c r="D164" s="267"/>
      <c r="E164" s="268"/>
      <c r="F164" s="55"/>
      <c r="G164" s="269"/>
      <c r="H164" s="269"/>
      <c r="I164" s="55"/>
      <c r="J164" s="269"/>
      <c r="K164" s="270"/>
      <c r="L164" s="269"/>
      <c r="M164" s="62"/>
      <c r="N164" s="62"/>
      <c r="O164" s="62"/>
      <c r="P164" s="62"/>
      <c r="Q164" s="62"/>
      <c r="R164" s="62"/>
      <c r="W164" s="60"/>
    </row>
    <row r="165" spans="1:28" s="214" customFormat="1" x14ac:dyDescent="0.25">
      <c r="A165" s="266"/>
      <c r="B165" s="266"/>
      <c r="C165" s="54"/>
      <c r="D165" s="267"/>
      <c r="E165" s="268"/>
      <c r="F165" s="55"/>
      <c r="G165" s="269"/>
      <c r="H165" s="269"/>
      <c r="I165" s="55"/>
      <c r="J165" s="269"/>
      <c r="K165" s="270"/>
      <c r="L165" s="269"/>
      <c r="M165" s="62"/>
      <c r="N165" s="62"/>
      <c r="O165" s="62"/>
      <c r="P165" s="62"/>
      <c r="Q165" s="62"/>
      <c r="R165" s="62"/>
      <c r="W165" s="60"/>
    </row>
    <row r="166" spans="1:28" s="214" customFormat="1" x14ac:dyDescent="0.25">
      <c r="A166" s="266"/>
      <c r="B166" s="266"/>
      <c r="C166" s="54"/>
      <c r="D166" s="267"/>
      <c r="E166" s="268"/>
      <c r="F166" s="55"/>
      <c r="G166" s="269"/>
      <c r="H166" s="269"/>
      <c r="I166" s="55"/>
      <c r="J166" s="269"/>
      <c r="K166" s="270"/>
      <c r="L166" s="269"/>
      <c r="M166" s="62"/>
      <c r="N166" s="62"/>
      <c r="O166" s="62"/>
      <c r="P166" s="62"/>
      <c r="Q166" s="62"/>
      <c r="R166" s="62"/>
      <c r="W166" s="60"/>
    </row>
    <row r="167" spans="1:28" s="214" customFormat="1" x14ac:dyDescent="0.25">
      <c r="A167" s="266"/>
      <c r="B167" s="266"/>
      <c r="C167" s="54"/>
      <c r="D167" s="267"/>
      <c r="E167" s="268"/>
      <c r="F167" s="55"/>
      <c r="G167" s="269"/>
      <c r="H167" s="269"/>
      <c r="I167" s="55"/>
      <c r="J167" s="269"/>
      <c r="K167" s="270"/>
      <c r="L167" s="269"/>
      <c r="M167" s="62"/>
      <c r="N167" s="62"/>
      <c r="O167" s="62"/>
      <c r="P167" s="62"/>
      <c r="Q167" s="62"/>
      <c r="R167" s="62"/>
      <c r="W167" s="60"/>
    </row>
    <row r="168" spans="1:28" s="214" customFormat="1" x14ac:dyDescent="0.25">
      <c r="A168" s="266"/>
      <c r="B168" s="266"/>
      <c r="C168" s="54"/>
      <c r="D168" s="267"/>
      <c r="E168" s="268"/>
      <c r="F168" s="55"/>
      <c r="G168" s="269"/>
      <c r="H168" s="269"/>
      <c r="I168" s="55"/>
      <c r="J168" s="269"/>
      <c r="K168" s="270"/>
      <c r="L168" s="269"/>
      <c r="M168" s="62"/>
      <c r="N168" s="62"/>
      <c r="O168" s="62"/>
      <c r="P168" s="62"/>
      <c r="Q168" s="62"/>
      <c r="R168" s="62"/>
      <c r="W168" s="60"/>
    </row>
    <row r="169" spans="1:28" s="214" customFormat="1" x14ac:dyDescent="0.25">
      <c r="A169" s="266"/>
      <c r="B169" s="266"/>
      <c r="C169" s="54"/>
      <c r="D169" s="267"/>
      <c r="E169" s="268"/>
      <c r="F169" s="55"/>
      <c r="G169" s="269"/>
      <c r="H169" s="269"/>
      <c r="I169" s="55"/>
      <c r="J169" s="269"/>
      <c r="K169" s="270"/>
      <c r="L169" s="269"/>
      <c r="M169" s="62"/>
      <c r="N169" s="62"/>
      <c r="O169" s="62"/>
      <c r="P169" s="62"/>
      <c r="Q169" s="62"/>
      <c r="R169" s="62"/>
      <c r="W169" s="60"/>
    </row>
    <row r="170" spans="1:28" s="214" customFormat="1" x14ac:dyDescent="0.25">
      <c r="A170" s="266"/>
      <c r="B170" s="266"/>
      <c r="C170" s="54"/>
      <c r="D170" s="267"/>
      <c r="E170" s="268"/>
      <c r="F170" s="55"/>
      <c r="G170" s="269"/>
      <c r="H170" s="269"/>
      <c r="I170" s="55"/>
      <c r="J170" s="269"/>
      <c r="K170" s="270"/>
      <c r="L170" s="269"/>
      <c r="M170" s="62"/>
      <c r="N170" s="62"/>
      <c r="O170" s="62"/>
      <c r="P170" s="62"/>
      <c r="Q170" s="62"/>
      <c r="R170" s="62"/>
      <c r="W170" s="60"/>
    </row>
    <row r="171" spans="1:28" s="214" customFormat="1" x14ac:dyDescent="0.25">
      <c r="A171" s="266"/>
      <c r="B171" s="266"/>
      <c r="C171" s="54"/>
      <c r="D171" s="267"/>
      <c r="E171" s="268"/>
      <c r="F171" s="55"/>
      <c r="G171" s="269"/>
      <c r="H171" s="269"/>
      <c r="I171" s="55"/>
      <c r="J171" s="269"/>
      <c r="K171" s="270"/>
      <c r="L171" s="269"/>
      <c r="M171" s="62"/>
      <c r="N171" s="62"/>
      <c r="O171" s="62"/>
      <c r="P171" s="62"/>
      <c r="Q171" s="62"/>
      <c r="R171" s="62"/>
      <c r="W171" s="60"/>
    </row>
    <row r="172" spans="1:28" s="214" customFormat="1" x14ac:dyDescent="0.25">
      <c r="A172" s="266"/>
      <c r="B172" s="266"/>
      <c r="C172" s="54"/>
      <c r="D172" s="267"/>
      <c r="E172" s="268"/>
      <c r="F172" s="55"/>
      <c r="G172" s="269"/>
      <c r="H172" s="269"/>
      <c r="I172" s="55"/>
      <c r="J172" s="269"/>
      <c r="K172" s="270"/>
      <c r="L172" s="269"/>
      <c r="M172" s="62"/>
      <c r="N172" s="62"/>
      <c r="O172" s="62"/>
      <c r="P172" s="62"/>
      <c r="Q172" s="62"/>
      <c r="R172" s="62"/>
      <c r="W172" s="60"/>
    </row>
    <row r="173" spans="1:28" s="214" customFormat="1" x14ac:dyDescent="0.25">
      <c r="A173" s="266"/>
      <c r="B173" s="266"/>
      <c r="C173" s="54"/>
      <c r="D173" s="267"/>
      <c r="E173" s="268"/>
      <c r="F173" s="55"/>
      <c r="G173" s="269"/>
      <c r="H173" s="269"/>
      <c r="I173" s="55"/>
      <c r="J173" s="269"/>
      <c r="K173" s="270"/>
      <c r="L173" s="269"/>
      <c r="M173" s="62"/>
      <c r="N173" s="62"/>
      <c r="O173" s="62"/>
      <c r="P173" s="62"/>
      <c r="Q173" s="62"/>
      <c r="R173" s="62"/>
      <c r="W173" s="60"/>
    </row>
    <row r="174" spans="1:28" s="214" customFormat="1" x14ac:dyDescent="0.25">
      <c r="A174" s="266"/>
      <c r="B174" s="266"/>
      <c r="C174" s="54"/>
      <c r="D174" s="267"/>
      <c r="E174" s="268"/>
      <c r="F174" s="55"/>
      <c r="G174" s="269"/>
      <c r="H174" s="269"/>
      <c r="I174" s="55"/>
      <c r="J174" s="269"/>
      <c r="K174" s="270"/>
      <c r="L174" s="269"/>
      <c r="M174" s="62"/>
      <c r="N174" s="62"/>
      <c r="O174" s="62"/>
      <c r="P174" s="62"/>
      <c r="Q174" s="62"/>
      <c r="R174" s="62"/>
      <c r="W174" s="60"/>
    </row>
    <row r="175" spans="1:28" s="214" customFormat="1" x14ac:dyDescent="0.25">
      <c r="A175" s="266"/>
      <c r="B175" s="266"/>
      <c r="C175" s="54"/>
      <c r="D175" s="267"/>
      <c r="E175" s="268"/>
      <c r="F175" s="55"/>
      <c r="G175" s="269"/>
      <c r="H175" s="269"/>
      <c r="I175" s="55"/>
      <c r="J175" s="269"/>
      <c r="K175" s="270"/>
      <c r="L175" s="269"/>
      <c r="M175" s="62"/>
      <c r="N175" s="62"/>
      <c r="O175" s="62"/>
      <c r="P175" s="62"/>
      <c r="Q175" s="62"/>
      <c r="R175" s="62"/>
      <c r="W175" s="60"/>
    </row>
    <row r="176" spans="1:28" s="214" customFormat="1" x14ac:dyDescent="0.25">
      <c r="A176" s="266"/>
      <c r="B176" s="266"/>
      <c r="C176" s="54"/>
      <c r="D176" s="267"/>
      <c r="E176" s="268"/>
      <c r="F176" s="55"/>
      <c r="G176" s="269"/>
      <c r="H176" s="269"/>
      <c r="I176" s="55"/>
      <c r="J176" s="269"/>
      <c r="K176" s="270"/>
      <c r="L176" s="269"/>
      <c r="M176" s="62"/>
      <c r="N176" s="62"/>
      <c r="O176" s="62"/>
      <c r="P176" s="62"/>
      <c r="Q176" s="62"/>
      <c r="R176" s="62"/>
      <c r="W176" s="60"/>
    </row>
    <row r="177" spans="1:23" s="214" customFormat="1" x14ac:dyDescent="0.25">
      <c r="A177" s="266"/>
      <c r="B177" s="266"/>
      <c r="C177" s="54"/>
      <c r="D177" s="267"/>
      <c r="E177" s="268"/>
      <c r="F177" s="55"/>
      <c r="G177" s="269"/>
      <c r="H177" s="269"/>
      <c r="I177" s="55"/>
      <c r="J177" s="269"/>
      <c r="K177" s="270"/>
      <c r="L177" s="269"/>
      <c r="M177" s="62"/>
      <c r="N177" s="62"/>
      <c r="O177" s="62"/>
      <c r="P177" s="62"/>
      <c r="Q177" s="62"/>
      <c r="R177" s="62"/>
      <c r="W177" s="60"/>
    </row>
    <row r="178" spans="1:23" s="214" customFormat="1" x14ac:dyDescent="0.25">
      <c r="A178" s="266"/>
      <c r="B178" s="266"/>
      <c r="C178" s="54"/>
      <c r="D178" s="267"/>
      <c r="E178" s="268"/>
      <c r="F178" s="55"/>
      <c r="G178" s="269"/>
      <c r="H178" s="269"/>
      <c r="I178" s="55"/>
      <c r="J178" s="269"/>
      <c r="K178" s="270"/>
      <c r="L178" s="269"/>
      <c r="M178" s="62"/>
      <c r="N178" s="62"/>
      <c r="O178" s="62"/>
      <c r="P178" s="62"/>
      <c r="Q178" s="62"/>
      <c r="R178" s="62"/>
      <c r="W178" s="60"/>
    </row>
    <row r="179" spans="1:23" s="214" customFormat="1" x14ac:dyDescent="0.25">
      <c r="A179" s="266"/>
      <c r="B179" s="266"/>
      <c r="C179" s="54"/>
      <c r="D179" s="267"/>
      <c r="E179" s="268"/>
      <c r="F179" s="55"/>
      <c r="G179" s="269"/>
      <c r="H179" s="269"/>
      <c r="I179" s="55"/>
      <c r="J179" s="269"/>
      <c r="K179" s="270"/>
      <c r="L179" s="269"/>
      <c r="M179" s="62"/>
      <c r="N179" s="62"/>
      <c r="O179" s="62"/>
      <c r="P179" s="62"/>
      <c r="Q179" s="62"/>
      <c r="R179" s="62"/>
      <c r="W179" s="60"/>
    </row>
    <row r="180" spans="1:23" s="214" customFormat="1" x14ac:dyDescent="0.25">
      <c r="A180" s="266"/>
      <c r="B180" s="266"/>
      <c r="C180" s="54"/>
      <c r="D180" s="267"/>
      <c r="E180" s="268"/>
      <c r="F180" s="55"/>
      <c r="G180" s="269"/>
      <c r="H180" s="269"/>
      <c r="I180" s="55"/>
      <c r="J180" s="269"/>
      <c r="K180" s="270"/>
      <c r="L180" s="269"/>
      <c r="M180" s="62"/>
      <c r="N180" s="62"/>
      <c r="O180" s="62"/>
      <c r="P180" s="62"/>
      <c r="Q180" s="62"/>
      <c r="R180" s="62"/>
      <c r="W180" s="60"/>
    </row>
    <row r="181" spans="1:23" s="214" customFormat="1" x14ac:dyDescent="0.25">
      <c r="A181" s="266"/>
      <c r="B181" s="266"/>
      <c r="C181" s="54"/>
      <c r="D181" s="267"/>
      <c r="E181" s="268"/>
      <c r="F181" s="55"/>
      <c r="G181" s="269"/>
      <c r="H181" s="269"/>
      <c r="I181" s="55"/>
      <c r="J181" s="269"/>
      <c r="K181" s="270"/>
      <c r="L181" s="269"/>
      <c r="M181" s="62"/>
      <c r="N181" s="62"/>
      <c r="O181" s="62"/>
      <c r="P181" s="62"/>
      <c r="Q181" s="62"/>
      <c r="R181" s="62"/>
      <c r="W181" s="60"/>
    </row>
    <row r="182" spans="1:23" s="214" customFormat="1" x14ac:dyDescent="0.25">
      <c r="A182" s="266"/>
      <c r="B182" s="266"/>
      <c r="C182" s="54"/>
      <c r="D182" s="267"/>
      <c r="E182" s="268"/>
      <c r="F182" s="55"/>
      <c r="G182" s="269"/>
      <c r="H182" s="269"/>
      <c r="I182" s="55"/>
      <c r="J182" s="269"/>
      <c r="K182" s="270"/>
      <c r="L182" s="269"/>
      <c r="M182" s="62"/>
      <c r="N182" s="62"/>
      <c r="O182" s="62"/>
      <c r="P182" s="62"/>
      <c r="Q182" s="62"/>
      <c r="R182" s="62"/>
      <c r="W182" s="60"/>
    </row>
    <row r="183" spans="1:23" s="214" customFormat="1" x14ac:dyDescent="0.25">
      <c r="A183" s="266"/>
      <c r="B183" s="266"/>
      <c r="C183" s="54"/>
      <c r="D183" s="267"/>
      <c r="E183" s="268"/>
      <c r="F183" s="55"/>
      <c r="G183" s="269"/>
      <c r="H183" s="269"/>
      <c r="I183" s="55"/>
      <c r="J183" s="269"/>
      <c r="K183" s="270"/>
      <c r="L183" s="269"/>
      <c r="M183" s="62"/>
      <c r="N183" s="62"/>
      <c r="O183" s="62"/>
      <c r="P183" s="62"/>
      <c r="Q183" s="62"/>
      <c r="R183" s="62"/>
      <c r="W183" s="60"/>
    </row>
    <row r="184" spans="1:23" s="214" customFormat="1" x14ac:dyDescent="0.25">
      <c r="A184" s="266"/>
      <c r="B184" s="266"/>
      <c r="C184" s="54"/>
      <c r="D184" s="267"/>
      <c r="E184" s="268"/>
      <c r="F184" s="55"/>
      <c r="G184" s="269"/>
      <c r="H184" s="269"/>
      <c r="I184" s="55"/>
      <c r="J184" s="269"/>
      <c r="K184" s="270"/>
      <c r="L184" s="269"/>
      <c r="M184" s="62"/>
      <c r="N184" s="62"/>
      <c r="O184" s="62"/>
      <c r="P184" s="62"/>
      <c r="Q184" s="62"/>
      <c r="R184" s="62"/>
      <c r="W184" s="60"/>
    </row>
    <row r="185" spans="1:23" s="214" customFormat="1" x14ac:dyDescent="0.25">
      <c r="A185" s="266"/>
      <c r="B185" s="266"/>
      <c r="C185" s="54"/>
      <c r="D185" s="267"/>
      <c r="E185" s="268"/>
      <c r="F185" s="55"/>
      <c r="G185" s="269"/>
      <c r="H185" s="269"/>
      <c r="I185" s="55"/>
      <c r="J185" s="269"/>
      <c r="K185" s="270"/>
      <c r="L185" s="269"/>
      <c r="M185" s="62"/>
      <c r="N185" s="62"/>
      <c r="O185" s="62"/>
      <c r="P185" s="62"/>
      <c r="Q185" s="62"/>
      <c r="R185" s="62"/>
      <c r="W185" s="60"/>
    </row>
    <row r="186" spans="1:23" s="214" customFormat="1" x14ac:dyDescent="0.25">
      <c r="A186" s="266"/>
      <c r="B186" s="266"/>
      <c r="C186" s="54"/>
      <c r="D186" s="267"/>
      <c r="E186" s="268"/>
      <c r="F186" s="55"/>
      <c r="G186" s="269"/>
      <c r="H186" s="269"/>
      <c r="I186" s="55"/>
      <c r="J186" s="269"/>
      <c r="K186" s="270"/>
      <c r="L186" s="269"/>
      <c r="M186" s="62"/>
      <c r="N186" s="62"/>
      <c r="O186" s="62"/>
      <c r="P186" s="62"/>
      <c r="Q186" s="62"/>
      <c r="R186" s="62"/>
      <c r="W186" s="60"/>
    </row>
    <row r="187" spans="1:23" s="214" customFormat="1" x14ac:dyDescent="0.25">
      <c r="A187" s="266"/>
      <c r="B187" s="266"/>
      <c r="C187" s="54"/>
      <c r="D187" s="267"/>
      <c r="E187" s="268"/>
      <c r="F187" s="55"/>
      <c r="G187" s="269"/>
      <c r="H187" s="269"/>
      <c r="I187" s="55"/>
      <c r="J187" s="269"/>
      <c r="K187" s="270"/>
      <c r="L187" s="269"/>
      <c r="M187" s="62"/>
      <c r="N187" s="62"/>
      <c r="O187" s="62"/>
      <c r="P187" s="62"/>
      <c r="Q187" s="62"/>
      <c r="R187" s="62"/>
      <c r="W187" s="60"/>
    </row>
    <row r="188" spans="1:23" s="214" customFormat="1" x14ac:dyDescent="0.25">
      <c r="A188" s="266"/>
      <c r="B188" s="266"/>
      <c r="C188" s="54"/>
      <c r="D188" s="267"/>
      <c r="E188" s="268"/>
      <c r="F188" s="55"/>
      <c r="G188" s="269"/>
      <c r="H188" s="269"/>
      <c r="I188" s="55"/>
      <c r="J188" s="269"/>
      <c r="K188" s="270"/>
      <c r="L188" s="269"/>
      <c r="M188" s="62"/>
      <c r="N188" s="62"/>
      <c r="O188" s="62"/>
      <c r="P188" s="62"/>
      <c r="Q188" s="62"/>
      <c r="R188" s="62"/>
      <c r="W188" s="60"/>
    </row>
    <row r="189" spans="1:23" s="214" customFormat="1" x14ac:dyDescent="0.25">
      <c r="A189" s="266"/>
      <c r="B189" s="266"/>
      <c r="C189" s="54"/>
      <c r="D189" s="267"/>
      <c r="E189" s="268"/>
      <c r="F189" s="55"/>
      <c r="G189" s="269"/>
      <c r="H189" s="269"/>
      <c r="I189" s="55"/>
      <c r="J189" s="269"/>
      <c r="K189" s="270"/>
      <c r="L189" s="269"/>
      <c r="M189" s="62"/>
      <c r="N189" s="62"/>
      <c r="O189" s="62"/>
      <c r="P189" s="62"/>
      <c r="Q189" s="62"/>
      <c r="R189" s="62"/>
      <c r="W189" s="60"/>
    </row>
    <row r="190" spans="1:23" s="214" customFormat="1" x14ac:dyDescent="0.25">
      <c r="A190" s="266"/>
      <c r="B190" s="266"/>
      <c r="C190" s="54"/>
      <c r="D190" s="267"/>
      <c r="E190" s="268"/>
      <c r="F190" s="55"/>
      <c r="G190" s="269"/>
      <c r="H190" s="269"/>
      <c r="I190" s="55"/>
      <c r="J190" s="269"/>
      <c r="K190" s="270"/>
      <c r="L190" s="269"/>
      <c r="M190" s="62"/>
      <c r="N190" s="62"/>
      <c r="O190" s="62"/>
      <c r="P190" s="62"/>
      <c r="Q190" s="62"/>
      <c r="R190" s="62"/>
      <c r="W190" s="60"/>
    </row>
    <row r="191" spans="1:23" s="214" customFormat="1" x14ac:dyDescent="0.25">
      <c r="A191" s="266"/>
      <c r="B191" s="266"/>
      <c r="C191" s="54"/>
      <c r="D191" s="267"/>
      <c r="E191" s="268"/>
      <c r="F191" s="55"/>
      <c r="G191" s="269"/>
      <c r="H191" s="269"/>
      <c r="I191" s="55"/>
      <c r="J191" s="269"/>
      <c r="K191" s="270"/>
      <c r="L191" s="269"/>
      <c r="M191" s="62"/>
      <c r="N191" s="62"/>
      <c r="O191" s="62"/>
      <c r="P191" s="62"/>
      <c r="Q191" s="62"/>
      <c r="R191" s="62"/>
      <c r="W191" s="60"/>
    </row>
    <row r="192" spans="1:23" s="214" customFormat="1" x14ac:dyDescent="0.25">
      <c r="A192" s="266"/>
      <c r="B192" s="266"/>
      <c r="C192" s="54"/>
      <c r="D192" s="267"/>
      <c r="E192" s="268"/>
      <c r="F192" s="55"/>
      <c r="G192" s="269"/>
      <c r="H192" s="269"/>
      <c r="I192" s="55"/>
      <c r="J192" s="269"/>
      <c r="K192" s="270"/>
      <c r="L192" s="269"/>
      <c r="M192" s="62"/>
      <c r="N192" s="62"/>
      <c r="O192" s="62"/>
      <c r="P192" s="62"/>
      <c r="Q192" s="62"/>
      <c r="R192" s="62"/>
      <c r="W192" s="60"/>
    </row>
    <row r="193" spans="1:23" s="214" customFormat="1" x14ac:dyDescent="0.25">
      <c r="A193" s="266"/>
      <c r="B193" s="266"/>
      <c r="C193" s="54"/>
      <c r="D193" s="267"/>
      <c r="E193" s="268"/>
      <c r="F193" s="55"/>
      <c r="G193" s="269"/>
      <c r="H193" s="269"/>
      <c r="I193" s="55"/>
      <c r="J193" s="269"/>
      <c r="K193" s="270"/>
      <c r="L193" s="269"/>
      <c r="M193" s="62"/>
      <c r="N193" s="62"/>
      <c r="O193" s="62"/>
      <c r="P193" s="62"/>
      <c r="Q193" s="62"/>
      <c r="R193" s="62"/>
      <c r="W193" s="60"/>
    </row>
    <row r="194" spans="1:23" s="214" customFormat="1" x14ac:dyDescent="0.25">
      <c r="A194" s="266"/>
      <c r="B194" s="266"/>
      <c r="C194" s="54"/>
      <c r="D194" s="267"/>
      <c r="E194" s="268"/>
      <c r="F194" s="55"/>
      <c r="G194" s="269"/>
      <c r="H194" s="269"/>
      <c r="I194" s="55"/>
      <c r="J194" s="269"/>
      <c r="K194" s="270"/>
      <c r="L194" s="269"/>
      <c r="M194" s="62"/>
      <c r="N194" s="62"/>
      <c r="O194" s="62"/>
      <c r="P194" s="62"/>
      <c r="Q194" s="62"/>
      <c r="R194" s="62"/>
      <c r="W194" s="60"/>
    </row>
    <row r="195" spans="1:23" s="214" customFormat="1" x14ac:dyDescent="0.25">
      <c r="A195" s="266"/>
      <c r="B195" s="266"/>
      <c r="C195" s="54"/>
      <c r="D195" s="267"/>
      <c r="E195" s="268"/>
      <c r="F195" s="55"/>
      <c r="G195" s="269"/>
      <c r="H195" s="269"/>
      <c r="I195" s="55"/>
      <c r="J195" s="269"/>
      <c r="K195" s="270"/>
      <c r="L195" s="269"/>
      <c r="M195" s="62"/>
      <c r="N195" s="62"/>
      <c r="O195" s="62"/>
      <c r="P195" s="62"/>
      <c r="Q195" s="62"/>
      <c r="R195" s="62"/>
      <c r="W195" s="60"/>
    </row>
    <row r="196" spans="1:23" s="214" customFormat="1" x14ac:dyDescent="0.25">
      <c r="A196" s="266"/>
      <c r="B196" s="266"/>
      <c r="C196" s="54"/>
      <c r="D196" s="267"/>
      <c r="E196" s="268"/>
      <c r="F196" s="55"/>
      <c r="G196" s="269"/>
      <c r="H196" s="269"/>
      <c r="I196" s="55"/>
      <c r="J196" s="269"/>
      <c r="K196" s="270"/>
      <c r="L196" s="269"/>
      <c r="M196" s="62"/>
      <c r="N196" s="62"/>
      <c r="O196" s="62"/>
      <c r="P196" s="62"/>
      <c r="Q196" s="62"/>
      <c r="R196" s="62"/>
      <c r="W196" s="60"/>
    </row>
    <row r="197" spans="1:23" s="214" customFormat="1" x14ac:dyDescent="0.25">
      <c r="A197" s="266"/>
      <c r="B197" s="266"/>
      <c r="C197" s="54"/>
      <c r="D197" s="267"/>
      <c r="E197" s="268"/>
      <c r="F197" s="55"/>
      <c r="G197" s="269"/>
      <c r="H197" s="269"/>
      <c r="I197" s="55"/>
      <c r="J197" s="269"/>
      <c r="K197" s="270"/>
      <c r="L197" s="269"/>
      <c r="M197" s="62"/>
      <c r="N197" s="62"/>
      <c r="O197" s="62"/>
      <c r="P197" s="62"/>
      <c r="Q197" s="62"/>
      <c r="R197" s="62"/>
      <c r="W197" s="60"/>
    </row>
    <row r="198" spans="1:23" s="214" customFormat="1" x14ac:dyDescent="0.25">
      <c r="A198" s="266"/>
      <c r="B198" s="266"/>
      <c r="C198" s="54"/>
      <c r="D198" s="267"/>
      <c r="E198" s="268"/>
      <c r="F198" s="55"/>
      <c r="G198" s="269"/>
      <c r="H198" s="269"/>
      <c r="I198" s="55"/>
      <c r="J198" s="269"/>
      <c r="K198" s="270"/>
      <c r="L198" s="269"/>
      <c r="M198" s="62"/>
      <c r="N198" s="62"/>
      <c r="O198" s="62"/>
      <c r="P198" s="62"/>
      <c r="Q198" s="62"/>
      <c r="R198" s="62"/>
      <c r="W198" s="60"/>
    </row>
    <row r="199" spans="1:23" s="214" customFormat="1" x14ac:dyDescent="0.25">
      <c r="A199" s="266"/>
      <c r="B199" s="266"/>
      <c r="C199" s="54"/>
      <c r="D199" s="267"/>
      <c r="E199" s="268"/>
      <c r="F199" s="55"/>
      <c r="G199" s="269"/>
      <c r="H199" s="269"/>
      <c r="I199" s="55"/>
      <c r="J199" s="269"/>
      <c r="K199" s="270"/>
      <c r="L199" s="269"/>
      <c r="M199" s="62"/>
      <c r="N199" s="62"/>
      <c r="O199" s="62"/>
      <c r="P199" s="62"/>
      <c r="Q199" s="62"/>
      <c r="R199" s="62"/>
      <c r="W199" s="60"/>
    </row>
    <row r="200" spans="1:23" s="214" customFormat="1" x14ac:dyDescent="0.25">
      <c r="A200" s="266"/>
      <c r="B200" s="266"/>
      <c r="C200" s="54"/>
      <c r="D200" s="267"/>
      <c r="E200" s="268"/>
      <c r="F200" s="55"/>
      <c r="G200" s="269"/>
      <c r="H200" s="269"/>
      <c r="I200" s="55"/>
      <c r="J200" s="269"/>
      <c r="K200" s="270"/>
      <c r="L200" s="269"/>
      <c r="M200" s="62"/>
      <c r="N200" s="62"/>
      <c r="O200" s="62"/>
      <c r="P200" s="62"/>
      <c r="Q200" s="62"/>
      <c r="R200" s="62"/>
      <c r="W200" s="60"/>
    </row>
    <row r="201" spans="1:23" s="214" customFormat="1" x14ac:dyDescent="0.25">
      <c r="A201" s="266"/>
      <c r="B201" s="266"/>
      <c r="C201" s="54"/>
      <c r="D201" s="267"/>
      <c r="E201" s="268"/>
      <c r="F201" s="55"/>
      <c r="G201" s="269"/>
      <c r="H201" s="269"/>
      <c r="I201" s="55"/>
      <c r="J201" s="269"/>
      <c r="K201" s="270"/>
      <c r="L201" s="269"/>
      <c r="M201" s="62"/>
      <c r="N201" s="62"/>
      <c r="O201" s="62"/>
      <c r="P201" s="62"/>
      <c r="Q201" s="62"/>
      <c r="R201" s="62"/>
      <c r="W201" s="60"/>
    </row>
    <row r="202" spans="1:23" s="214" customFormat="1" x14ac:dyDescent="0.25">
      <c r="A202" s="266"/>
      <c r="B202" s="266"/>
      <c r="C202" s="54"/>
      <c r="D202" s="267"/>
      <c r="E202" s="268"/>
      <c r="F202" s="55"/>
      <c r="G202" s="269"/>
      <c r="H202" s="269"/>
      <c r="I202" s="55"/>
      <c r="J202" s="269"/>
      <c r="K202" s="270"/>
      <c r="L202" s="269"/>
      <c r="M202" s="62"/>
      <c r="N202" s="62"/>
      <c r="O202" s="62"/>
      <c r="P202" s="62"/>
      <c r="Q202" s="62"/>
      <c r="R202" s="62"/>
      <c r="W202" s="60"/>
    </row>
    <row r="203" spans="1:23" s="214" customFormat="1" x14ac:dyDescent="0.25">
      <c r="A203" s="266"/>
      <c r="B203" s="266"/>
      <c r="C203" s="54"/>
      <c r="D203" s="267"/>
      <c r="E203" s="268"/>
      <c r="F203" s="55"/>
      <c r="G203" s="269"/>
      <c r="H203" s="269"/>
      <c r="I203" s="55"/>
      <c r="J203" s="269"/>
      <c r="K203" s="270"/>
      <c r="L203" s="269"/>
      <c r="M203" s="62"/>
      <c r="N203" s="62"/>
      <c r="O203" s="62"/>
      <c r="P203" s="62"/>
      <c r="Q203" s="62"/>
      <c r="R203" s="62"/>
      <c r="W203" s="60"/>
    </row>
    <row r="204" spans="1:23" s="214" customFormat="1" x14ac:dyDescent="0.25">
      <c r="A204" s="266"/>
      <c r="B204" s="266"/>
      <c r="C204" s="54"/>
      <c r="D204" s="267"/>
      <c r="E204" s="268"/>
      <c r="F204" s="55"/>
      <c r="G204" s="269"/>
      <c r="H204" s="269"/>
      <c r="I204" s="55"/>
      <c r="J204" s="269"/>
      <c r="K204" s="270"/>
      <c r="L204" s="269"/>
      <c r="M204" s="62"/>
      <c r="N204" s="62"/>
      <c r="O204" s="62"/>
      <c r="P204" s="62"/>
      <c r="Q204" s="62"/>
      <c r="R204" s="62"/>
      <c r="W204" s="60"/>
    </row>
    <row r="205" spans="1:23" s="214" customFormat="1" x14ac:dyDescent="0.25">
      <c r="A205" s="266"/>
      <c r="B205" s="266"/>
      <c r="C205" s="54"/>
      <c r="D205" s="267"/>
      <c r="E205" s="268"/>
      <c r="F205" s="55"/>
      <c r="G205" s="269"/>
      <c r="H205" s="269"/>
      <c r="I205" s="55"/>
      <c r="J205" s="269"/>
      <c r="K205" s="270"/>
      <c r="L205" s="269"/>
      <c r="M205" s="62"/>
      <c r="N205" s="62"/>
      <c r="O205" s="62"/>
      <c r="P205" s="62"/>
      <c r="Q205" s="62"/>
      <c r="R205" s="62"/>
      <c r="W205" s="60"/>
    </row>
    <row r="206" spans="1:23" s="214" customFormat="1" x14ac:dyDescent="0.25">
      <c r="A206" s="266"/>
      <c r="B206" s="266"/>
      <c r="C206" s="54"/>
      <c r="D206" s="267"/>
      <c r="E206" s="268"/>
      <c r="F206" s="55"/>
      <c r="G206" s="269"/>
      <c r="H206" s="269"/>
      <c r="I206" s="55"/>
      <c r="J206" s="269"/>
      <c r="K206" s="270"/>
      <c r="L206" s="269"/>
      <c r="M206" s="62"/>
      <c r="N206" s="62"/>
      <c r="O206" s="62"/>
      <c r="P206" s="62"/>
      <c r="Q206" s="62"/>
      <c r="R206" s="62"/>
      <c r="W206" s="60"/>
    </row>
    <row r="207" spans="1:23" s="214" customFormat="1" x14ac:dyDescent="0.25">
      <c r="A207" s="266"/>
      <c r="B207" s="266"/>
      <c r="C207" s="54"/>
      <c r="D207" s="267"/>
      <c r="E207" s="268"/>
      <c r="F207" s="55"/>
      <c r="G207" s="269"/>
      <c r="H207" s="269"/>
      <c r="I207" s="55"/>
      <c r="J207" s="269"/>
      <c r="K207" s="270"/>
      <c r="L207" s="269"/>
      <c r="M207" s="62"/>
      <c r="N207" s="62"/>
      <c r="O207" s="62"/>
      <c r="P207" s="62"/>
      <c r="Q207" s="62"/>
      <c r="R207" s="62"/>
      <c r="W207" s="60"/>
    </row>
    <row r="208" spans="1:23" s="214" customFormat="1" x14ac:dyDescent="0.25">
      <c r="A208" s="266"/>
      <c r="B208" s="266"/>
      <c r="C208" s="54"/>
      <c r="D208" s="267"/>
      <c r="E208" s="268"/>
      <c r="F208" s="55"/>
      <c r="G208" s="269"/>
      <c r="H208" s="269"/>
      <c r="I208" s="55"/>
      <c r="J208" s="269"/>
      <c r="K208" s="270"/>
      <c r="L208" s="269"/>
      <c r="M208" s="62"/>
      <c r="N208" s="62"/>
      <c r="O208" s="62"/>
      <c r="P208" s="62"/>
      <c r="Q208" s="62"/>
      <c r="R208" s="62"/>
      <c r="W208" s="60"/>
    </row>
    <row r="209" spans="1:23" s="214" customFormat="1" x14ac:dyDescent="0.25">
      <c r="A209" s="266"/>
      <c r="B209" s="266"/>
      <c r="C209" s="54"/>
      <c r="D209" s="267"/>
      <c r="E209" s="268"/>
      <c r="F209" s="55"/>
      <c r="G209" s="269"/>
      <c r="H209" s="269"/>
      <c r="I209" s="55"/>
      <c r="J209" s="269"/>
      <c r="K209" s="270"/>
      <c r="L209" s="269"/>
      <c r="M209" s="62"/>
      <c r="N209" s="62"/>
      <c r="O209" s="62"/>
      <c r="P209" s="62"/>
      <c r="Q209" s="62"/>
      <c r="R209" s="62"/>
      <c r="W209" s="60"/>
    </row>
    <row r="210" spans="1:23" s="214" customFormat="1" x14ac:dyDescent="0.25">
      <c r="A210" s="266"/>
      <c r="B210" s="266"/>
      <c r="C210" s="54"/>
      <c r="D210" s="267"/>
      <c r="E210" s="268"/>
      <c r="F210" s="55"/>
      <c r="G210" s="269"/>
      <c r="H210" s="269"/>
      <c r="I210" s="55"/>
      <c r="J210" s="269"/>
      <c r="K210" s="270"/>
      <c r="L210" s="269"/>
      <c r="M210" s="62"/>
      <c r="N210" s="62"/>
      <c r="O210" s="62"/>
      <c r="P210" s="62"/>
      <c r="Q210" s="62"/>
      <c r="R210" s="62"/>
      <c r="W210" s="60"/>
    </row>
    <row r="211" spans="1:23" s="214" customFormat="1" x14ac:dyDescent="0.25">
      <c r="A211" s="266"/>
      <c r="B211" s="266"/>
      <c r="C211" s="54"/>
      <c r="D211" s="267"/>
      <c r="E211" s="268"/>
      <c r="F211" s="55"/>
      <c r="G211" s="269"/>
      <c r="H211" s="269"/>
      <c r="I211" s="55"/>
      <c r="J211" s="269"/>
      <c r="K211" s="270"/>
      <c r="L211" s="269"/>
      <c r="M211" s="62"/>
      <c r="N211" s="62"/>
      <c r="O211" s="62"/>
      <c r="P211" s="62"/>
      <c r="Q211" s="62"/>
      <c r="R211" s="62"/>
      <c r="W211" s="60"/>
    </row>
    <row r="212" spans="1:23" s="214" customFormat="1" x14ac:dyDescent="0.25">
      <c r="A212" s="266"/>
      <c r="B212" s="266"/>
      <c r="C212" s="54"/>
      <c r="D212" s="267"/>
      <c r="E212" s="268"/>
      <c r="F212" s="55"/>
      <c r="G212" s="269"/>
      <c r="H212" s="269"/>
      <c r="I212" s="55"/>
      <c r="J212" s="269"/>
      <c r="K212" s="270"/>
      <c r="L212" s="269"/>
      <c r="M212" s="62"/>
      <c r="N212" s="62"/>
      <c r="O212" s="62"/>
      <c r="P212" s="62"/>
      <c r="Q212" s="62"/>
      <c r="R212" s="62"/>
      <c r="W212" s="60"/>
    </row>
    <row r="213" spans="1:23" s="214" customFormat="1" x14ac:dyDescent="0.25">
      <c r="A213" s="266"/>
      <c r="B213" s="266"/>
      <c r="C213" s="54"/>
      <c r="D213" s="267"/>
      <c r="E213" s="268"/>
      <c r="F213" s="55"/>
      <c r="G213" s="269"/>
      <c r="H213" s="269"/>
      <c r="I213" s="55"/>
      <c r="J213" s="269"/>
      <c r="K213" s="270"/>
      <c r="L213" s="269"/>
      <c r="M213" s="62"/>
      <c r="N213" s="62"/>
      <c r="O213" s="62"/>
      <c r="P213" s="62"/>
      <c r="Q213" s="62"/>
      <c r="R213" s="62"/>
      <c r="W213" s="60"/>
    </row>
    <row r="214" spans="1:23" s="214" customFormat="1" x14ac:dyDescent="0.25">
      <c r="A214" s="266"/>
      <c r="B214" s="266"/>
      <c r="C214" s="54"/>
      <c r="D214" s="267"/>
      <c r="E214" s="268"/>
      <c r="F214" s="55"/>
      <c r="G214" s="269"/>
      <c r="H214" s="269"/>
      <c r="I214" s="55"/>
      <c r="J214" s="269"/>
      <c r="K214" s="270"/>
      <c r="L214" s="269"/>
      <c r="M214" s="62"/>
      <c r="N214" s="62"/>
      <c r="O214" s="62"/>
      <c r="P214" s="62"/>
      <c r="Q214" s="62"/>
      <c r="R214" s="62"/>
      <c r="W214" s="60"/>
    </row>
    <row r="215" spans="1:23" s="214" customFormat="1" x14ac:dyDescent="0.25">
      <c r="A215" s="266"/>
      <c r="B215" s="266"/>
      <c r="C215" s="54"/>
      <c r="D215" s="267"/>
      <c r="E215" s="268"/>
      <c r="F215" s="55"/>
      <c r="G215" s="269"/>
      <c r="H215" s="269"/>
      <c r="I215" s="55"/>
      <c r="J215" s="269"/>
      <c r="K215" s="270"/>
      <c r="L215" s="269"/>
      <c r="M215" s="62"/>
      <c r="N215" s="62"/>
      <c r="O215" s="62"/>
      <c r="P215" s="62"/>
      <c r="Q215" s="62"/>
      <c r="R215" s="62"/>
      <c r="W215" s="60"/>
    </row>
    <row r="216" spans="1:23" s="214" customFormat="1" x14ac:dyDescent="0.25">
      <c r="A216" s="266"/>
      <c r="B216" s="266"/>
      <c r="C216" s="54"/>
      <c r="D216" s="267"/>
      <c r="E216" s="268"/>
      <c r="F216" s="55"/>
      <c r="G216" s="269"/>
      <c r="H216" s="269"/>
      <c r="I216" s="55"/>
      <c r="J216" s="269"/>
      <c r="K216" s="270"/>
      <c r="L216" s="269"/>
      <c r="M216" s="62"/>
      <c r="N216" s="62"/>
      <c r="O216" s="62"/>
      <c r="P216" s="62"/>
      <c r="Q216" s="62"/>
      <c r="R216" s="62"/>
      <c r="W216" s="60"/>
    </row>
    <row r="217" spans="1:23" s="214" customFormat="1" x14ac:dyDescent="0.25">
      <c r="A217" s="266"/>
      <c r="B217" s="266"/>
      <c r="C217" s="54"/>
      <c r="D217" s="267"/>
      <c r="E217" s="268"/>
      <c r="F217" s="55"/>
      <c r="G217" s="269"/>
      <c r="H217" s="269"/>
      <c r="I217" s="55"/>
      <c r="J217" s="269"/>
      <c r="K217" s="270"/>
      <c r="L217" s="269"/>
      <c r="M217" s="62"/>
      <c r="N217" s="62"/>
      <c r="O217" s="62"/>
      <c r="P217" s="62"/>
      <c r="Q217" s="62"/>
      <c r="R217" s="62"/>
      <c r="W217" s="60"/>
    </row>
    <row r="218" spans="1:23" s="214" customFormat="1" x14ac:dyDescent="0.25">
      <c r="A218" s="266"/>
      <c r="B218" s="266"/>
      <c r="C218" s="54"/>
      <c r="D218" s="267"/>
      <c r="E218" s="268"/>
      <c r="F218" s="55"/>
      <c r="G218" s="269"/>
      <c r="H218" s="269"/>
      <c r="I218" s="55"/>
      <c r="J218" s="269"/>
      <c r="K218" s="270"/>
      <c r="L218" s="269"/>
      <c r="M218" s="62"/>
      <c r="N218" s="62"/>
      <c r="O218" s="62"/>
      <c r="P218" s="62"/>
      <c r="Q218" s="62"/>
      <c r="R218" s="62"/>
      <c r="W218" s="60"/>
    </row>
    <row r="219" spans="1:23" s="214" customFormat="1" x14ac:dyDescent="0.25">
      <c r="A219" s="266"/>
      <c r="B219" s="266"/>
      <c r="C219" s="54"/>
      <c r="D219" s="267"/>
      <c r="E219" s="268"/>
      <c r="F219" s="55"/>
      <c r="G219" s="269"/>
      <c r="H219" s="269"/>
      <c r="I219" s="55"/>
      <c r="J219" s="269"/>
      <c r="K219" s="270"/>
      <c r="L219" s="269"/>
      <c r="M219" s="62"/>
      <c r="N219" s="62"/>
      <c r="O219" s="62"/>
      <c r="P219" s="62"/>
      <c r="Q219" s="62"/>
      <c r="R219" s="62"/>
      <c r="W219" s="60"/>
    </row>
    <row r="220" spans="1:23" s="214" customFormat="1" x14ac:dyDescent="0.25">
      <c r="A220" s="266"/>
      <c r="B220" s="266"/>
      <c r="C220" s="54"/>
      <c r="D220" s="267"/>
      <c r="E220" s="268"/>
      <c r="F220" s="55"/>
      <c r="G220" s="269"/>
      <c r="H220" s="269"/>
      <c r="I220" s="55"/>
      <c r="J220" s="269"/>
      <c r="K220" s="270"/>
      <c r="L220" s="269"/>
      <c r="M220" s="62"/>
      <c r="N220" s="62"/>
      <c r="O220" s="62"/>
      <c r="P220" s="62"/>
      <c r="Q220" s="62"/>
      <c r="R220" s="62"/>
      <c r="W220" s="60"/>
    </row>
    <row r="221" spans="1:23" s="214" customFormat="1" x14ac:dyDescent="0.25">
      <c r="A221" s="266"/>
      <c r="B221" s="266"/>
      <c r="C221" s="54"/>
      <c r="D221" s="267"/>
      <c r="E221" s="268"/>
      <c r="F221" s="55"/>
      <c r="G221" s="269"/>
      <c r="H221" s="269"/>
      <c r="I221" s="55"/>
      <c r="J221" s="269"/>
      <c r="K221" s="270"/>
      <c r="L221" s="269"/>
      <c r="M221" s="62"/>
      <c r="N221" s="62"/>
      <c r="O221" s="62"/>
      <c r="P221" s="62"/>
      <c r="Q221" s="62"/>
      <c r="R221" s="62"/>
      <c r="W221" s="60"/>
    </row>
    <row r="222" spans="1:23" s="214" customFormat="1" x14ac:dyDescent="0.25">
      <c r="A222" s="266"/>
      <c r="B222" s="266"/>
      <c r="C222" s="54"/>
      <c r="D222" s="267"/>
      <c r="E222" s="268"/>
      <c r="F222" s="55"/>
      <c r="G222" s="269"/>
      <c r="H222" s="269"/>
      <c r="I222" s="55"/>
      <c r="J222" s="269"/>
      <c r="K222" s="270"/>
      <c r="L222" s="269"/>
      <c r="M222" s="62"/>
      <c r="N222" s="62"/>
      <c r="O222" s="62"/>
      <c r="P222" s="62"/>
      <c r="Q222" s="62"/>
      <c r="R222" s="62"/>
      <c r="W222" s="60"/>
    </row>
    <row r="223" spans="1:23" s="214" customFormat="1" x14ac:dyDescent="0.25">
      <c r="A223" s="266"/>
      <c r="B223" s="266"/>
      <c r="C223" s="54"/>
      <c r="D223" s="267"/>
      <c r="E223" s="268"/>
      <c r="F223" s="55"/>
      <c r="G223" s="269"/>
      <c r="H223" s="269"/>
      <c r="I223" s="55"/>
      <c r="J223" s="269"/>
      <c r="K223" s="270"/>
      <c r="L223" s="269"/>
      <c r="M223" s="62"/>
      <c r="N223" s="62"/>
      <c r="O223" s="62"/>
      <c r="P223" s="62"/>
      <c r="Q223" s="62"/>
      <c r="R223" s="62"/>
      <c r="W223" s="60"/>
    </row>
    <row r="224" spans="1:23" s="214" customFormat="1" x14ac:dyDescent="0.25">
      <c r="A224" s="266"/>
      <c r="B224" s="266"/>
      <c r="C224" s="54"/>
      <c r="D224" s="267"/>
      <c r="E224" s="268"/>
      <c r="F224" s="55"/>
      <c r="G224" s="269"/>
      <c r="H224" s="269"/>
      <c r="I224" s="55"/>
      <c r="J224" s="269"/>
      <c r="K224" s="270"/>
      <c r="L224" s="269"/>
      <c r="M224" s="62"/>
      <c r="N224" s="62"/>
      <c r="O224" s="62"/>
      <c r="P224" s="62"/>
      <c r="Q224" s="62"/>
      <c r="R224" s="62"/>
      <c r="W224" s="60"/>
    </row>
    <row r="225" spans="1:23" s="214" customFormat="1" x14ac:dyDescent="0.25">
      <c r="A225" s="266"/>
      <c r="B225" s="266"/>
      <c r="C225" s="54"/>
      <c r="D225" s="267"/>
      <c r="E225" s="268"/>
      <c r="F225" s="55"/>
      <c r="G225" s="269"/>
      <c r="H225" s="269"/>
      <c r="I225" s="55"/>
      <c r="J225" s="269"/>
      <c r="K225" s="270"/>
      <c r="L225" s="269"/>
      <c r="M225" s="62"/>
      <c r="N225" s="62"/>
      <c r="O225" s="62"/>
      <c r="P225" s="62"/>
      <c r="Q225" s="62"/>
      <c r="R225" s="62"/>
      <c r="W225" s="60"/>
    </row>
    <row r="226" spans="1:23" s="214" customFormat="1" x14ac:dyDescent="0.25">
      <c r="A226" s="266"/>
      <c r="B226" s="266"/>
      <c r="C226" s="54"/>
      <c r="D226" s="267"/>
      <c r="E226" s="268"/>
      <c r="F226" s="55"/>
      <c r="G226" s="269"/>
      <c r="H226" s="269"/>
      <c r="I226" s="55"/>
      <c r="J226" s="269"/>
      <c r="K226" s="270"/>
      <c r="L226" s="269"/>
      <c r="M226" s="62"/>
      <c r="N226" s="62"/>
      <c r="O226" s="62"/>
      <c r="P226" s="62"/>
      <c r="Q226" s="62"/>
      <c r="R226" s="62"/>
      <c r="W226" s="60"/>
    </row>
    <row r="227" spans="1:23" s="214" customFormat="1" x14ac:dyDescent="0.25">
      <c r="A227" s="266"/>
      <c r="B227" s="266"/>
      <c r="C227" s="54"/>
      <c r="D227" s="267"/>
      <c r="E227" s="268"/>
      <c r="F227" s="55"/>
      <c r="G227" s="269"/>
      <c r="H227" s="269"/>
      <c r="I227" s="55"/>
      <c r="J227" s="269"/>
      <c r="K227" s="270"/>
      <c r="L227" s="269"/>
      <c r="M227" s="62"/>
      <c r="N227" s="62"/>
      <c r="O227" s="62"/>
      <c r="P227" s="62"/>
      <c r="Q227" s="62"/>
      <c r="R227" s="62"/>
      <c r="W227" s="60"/>
    </row>
    <row r="228" spans="1:23" s="214" customFormat="1" x14ac:dyDescent="0.25">
      <c r="A228" s="266"/>
      <c r="B228" s="266"/>
      <c r="C228" s="54"/>
      <c r="D228" s="267"/>
      <c r="E228" s="268"/>
      <c r="F228" s="55"/>
      <c r="G228" s="269"/>
      <c r="H228" s="269"/>
      <c r="I228" s="55"/>
      <c r="J228" s="269"/>
      <c r="K228" s="270"/>
      <c r="L228" s="269"/>
      <c r="M228" s="62"/>
      <c r="N228" s="62"/>
      <c r="O228" s="62"/>
      <c r="P228" s="62"/>
      <c r="Q228" s="62"/>
      <c r="R228" s="62"/>
      <c r="W228" s="60"/>
    </row>
    <row r="229" spans="1:23" s="214" customFormat="1" x14ac:dyDescent="0.25">
      <c r="A229" s="266"/>
      <c r="B229" s="266"/>
      <c r="C229" s="54"/>
      <c r="D229" s="267"/>
      <c r="E229" s="268"/>
      <c r="F229" s="55"/>
      <c r="G229" s="269"/>
      <c r="H229" s="269"/>
      <c r="I229" s="55"/>
      <c r="J229" s="269"/>
      <c r="K229" s="270"/>
      <c r="L229" s="269"/>
      <c r="M229" s="62"/>
      <c r="N229" s="62"/>
      <c r="O229" s="62"/>
      <c r="P229" s="62"/>
      <c r="Q229" s="62"/>
      <c r="R229" s="62"/>
      <c r="W229" s="60"/>
    </row>
    <row r="230" spans="1:23" s="214" customFormat="1" x14ac:dyDescent="0.25">
      <c r="A230" s="266"/>
      <c r="B230" s="266"/>
      <c r="C230" s="54"/>
      <c r="D230" s="267"/>
      <c r="E230" s="268"/>
      <c r="F230" s="55"/>
      <c r="G230" s="269"/>
      <c r="H230" s="269"/>
      <c r="I230" s="55"/>
      <c r="J230" s="269"/>
      <c r="K230" s="270"/>
      <c r="L230" s="269"/>
      <c r="M230" s="62"/>
      <c r="N230" s="62"/>
      <c r="O230" s="62"/>
      <c r="P230" s="62"/>
      <c r="Q230" s="62"/>
      <c r="R230" s="62"/>
      <c r="W230" s="60"/>
    </row>
    <row r="231" spans="1:23" s="214" customFormat="1" x14ac:dyDescent="0.25">
      <c r="A231" s="266"/>
      <c r="B231" s="266"/>
      <c r="C231" s="54"/>
      <c r="D231" s="267"/>
      <c r="E231" s="268"/>
      <c r="F231" s="55"/>
      <c r="G231" s="269"/>
      <c r="H231" s="269"/>
      <c r="I231" s="55"/>
      <c r="J231" s="269"/>
      <c r="K231" s="270"/>
      <c r="L231" s="269"/>
      <c r="M231" s="62"/>
      <c r="N231" s="62"/>
      <c r="O231" s="62"/>
      <c r="P231" s="62"/>
      <c r="Q231" s="62"/>
      <c r="R231" s="62"/>
      <c r="W231" s="60"/>
    </row>
    <row r="232" spans="1:23" s="214" customFormat="1" x14ac:dyDescent="0.25">
      <c r="A232" s="266"/>
      <c r="B232" s="266"/>
      <c r="C232" s="54"/>
      <c r="D232" s="267"/>
      <c r="E232" s="268"/>
      <c r="F232" s="55"/>
      <c r="G232" s="269"/>
      <c r="H232" s="269"/>
      <c r="I232" s="55"/>
      <c r="J232" s="269"/>
      <c r="K232" s="270"/>
      <c r="L232" s="269"/>
      <c r="M232" s="62"/>
      <c r="N232" s="62"/>
      <c r="O232" s="62"/>
      <c r="P232" s="62"/>
      <c r="Q232" s="62"/>
      <c r="R232" s="62"/>
      <c r="W232" s="60"/>
    </row>
    <row r="233" spans="1:23" s="214" customFormat="1" x14ac:dyDescent="0.25">
      <c r="A233" s="266"/>
      <c r="B233" s="266"/>
      <c r="C233" s="54"/>
      <c r="D233" s="267"/>
      <c r="E233" s="268"/>
      <c r="F233" s="55"/>
      <c r="G233" s="269"/>
      <c r="H233" s="269"/>
      <c r="I233" s="55"/>
      <c r="J233" s="269"/>
      <c r="K233" s="270"/>
      <c r="L233" s="269"/>
      <c r="M233" s="62"/>
      <c r="N233" s="62"/>
      <c r="O233" s="62"/>
      <c r="P233" s="62"/>
      <c r="Q233" s="62"/>
      <c r="R233" s="62"/>
      <c r="W233" s="60"/>
    </row>
    <row r="234" spans="1:23" s="214" customFormat="1" x14ac:dyDescent="0.25">
      <c r="A234" s="266"/>
      <c r="B234" s="266"/>
      <c r="C234" s="54"/>
      <c r="D234" s="267"/>
      <c r="E234" s="268"/>
      <c r="F234" s="55"/>
      <c r="G234" s="269"/>
      <c r="H234" s="269"/>
      <c r="I234" s="55"/>
      <c r="J234" s="269"/>
      <c r="K234" s="270"/>
      <c r="L234" s="269"/>
      <c r="M234" s="62"/>
      <c r="N234" s="62"/>
      <c r="O234" s="62"/>
      <c r="P234" s="62"/>
      <c r="Q234" s="62"/>
      <c r="R234" s="62"/>
      <c r="W234" s="60"/>
    </row>
    <row r="235" spans="1:23" s="214" customFormat="1" x14ac:dyDescent="0.25">
      <c r="A235" s="266"/>
      <c r="B235" s="266"/>
      <c r="C235" s="54"/>
      <c r="D235" s="267"/>
      <c r="E235" s="268"/>
      <c r="F235" s="55"/>
      <c r="G235" s="269"/>
      <c r="H235" s="269"/>
      <c r="I235" s="55"/>
      <c r="J235" s="269"/>
      <c r="K235" s="270"/>
      <c r="L235" s="269"/>
      <c r="M235" s="62"/>
      <c r="N235" s="62"/>
      <c r="O235" s="62"/>
      <c r="P235" s="62"/>
      <c r="Q235" s="62"/>
      <c r="R235" s="62"/>
      <c r="W235" s="60"/>
    </row>
    <row r="236" spans="1:23" s="214" customFormat="1" x14ac:dyDescent="0.25">
      <c r="A236" s="266"/>
      <c r="B236" s="266"/>
      <c r="C236" s="54"/>
      <c r="D236" s="267"/>
      <c r="E236" s="268"/>
      <c r="F236" s="55"/>
      <c r="G236" s="269"/>
      <c r="H236" s="269"/>
      <c r="I236" s="55"/>
      <c r="J236" s="269"/>
      <c r="K236" s="270"/>
      <c r="L236" s="269"/>
      <c r="M236" s="62"/>
      <c r="N236" s="62"/>
      <c r="O236" s="62"/>
      <c r="P236" s="62"/>
      <c r="Q236" s="62"/>
      <c r="R236" s="62"/>
      <c r="W236" s="60"/>
    </row>
    <row r="237" spans="1:23" s="214" customFormat="1" x14ac:dyDescent="0.25">
      <c r="A237" s="266"/>
      <c r="B237" s="266"/>
      <c r="C237" s="54"/>
      <c r="D237" s="267"/>
      <c r="E237" s="268"/>
      <c r="F237" s="55"/>
      <c r="G237" s="269"/>
      <c r="H237" s="269"/>
      <c r="I237" s="55"/>
      <c r="J237" s="269"/>
      <c r="K237" s="270"/>
      <c r="L237" s="269"/>
      <c r="M237" s="62"/>
      <c r="N237" s="62"/>
      <c r="O237" s="62"/>
      <c r="P237" s="62"/>
      <c r="Q237" s="62"/>
      <c r="R237" s="62"/>
      <c r="W237" s="60"/>
    </row>
    <row r="238" spans="1:23" s="214" customFormat="1" x14ac:dyDescent="0.25">
      <c r="A238" s="266"/>
      <c r="B238" s="266"/>
      <c r="C238" s="54"/>
      <c r="D238" s="267"/>
      <c r="E238" s="268"/>
      <c r="F238" s="55"/>
      <c r="G238" s="269"/>
      <c r="H238" s="269"/>
      <c r="I238" s="55"/>
      <c r="J238" s="269"/>
      <c r="K238" s="270"/>
      <c r="L238" s="269"/>
      <c r="M238" s="62"/>
      <c r="N238" s="62"/>
      <c r="O238" s="62"/>
      <c r="P238" s="62"/>
      <c r="Q238" s="62"/>
      <c r="R238" s="62"/>
      <c r="W238" s="60"/>
    </row>
    <row r="239" spans="1:23" s="214" customFormat="1" x14ac:dyDescent="0.25">
      <c r="A239" s="266"/>
      <c r="B239" s="266"/>
      <c r="C239" s="54"/>
      <c r="D239" s="267"/>
      <c r="E239" s="268"/>
      <c r="F239" s="55"/>
      <c r="G239" s="269"/>
      <c r="H239" s="269"/>
      <c r="I239" s="55"/>
      <c r="J239" s="269"/>
      <c r="K239" s="270"/>
      <c r="L239" s="269"/>
      <c r="M239" s="62"/>
      <c r="N239" s="62"/>
      <c r="O239" s="62"/>
      <c r="P239" s="62"/>
      <c r="Q239" s="62"/>
      <c r="R239" s="62"/>
      <c r="W239" s="60"/>
    </row>
    <row r="240" spans="1:23" s="214" customFormat="1" x14ac:dyDescent="0.25">
      <c r="A240" s="266"/>
      <c r="B240" s="266"/>
      <c r="C240" s="54"/>
      <c r="D240" s="267"/>
      <c r="E240" s="268"/>
      <c r="F240" s="55"/>
      <c r="G240" s="269"/>
      <c r="H240" s="269"/>
      <c r="I240" s="55"/>
      <c r="J240" s="269"/>
      <c r="K240" s="270"/>
      <c r="L240" s="269"/>
      <c r="M240" s="62"/>
      <c r="N240" s="62"/>
      <c r="O240" s="62"/>
      <c r="P240" s="62"/>
      <c r="Q240" s="62"/>
      <c r="R240" s="62"/>
      <c r="W240" s="60"/>
    </row>
    <row r="241" spans="1:23" s="214" customFormat="1" x14ac:dyDescent="0.25">
      <c r="A241" s="266"/>
      <c r="B241" s="266"/>
      <c r="C241" s="54"/>
      <c r="D241" s="267"/>
      <c r="E241" s="268"/>
      <c r="F241" s="55"/>
      <c r="G241" s="269"/>
      <c r="H241" s="269"/>
      <c r="I241" s="55"/>
      <c r="J241" s="269"/>
      <c r="K241" s="270"/>
      <c r="L241" s="269"/>
      <c r="M241" s="62"/>
      <c r="N241" s="62"/>
      <c r="O241" s="62"/>
      <c r="P241" s="62"/>
      <c r="Q241" s="62"/>
      <c r="R241" s="62"/>
      <c r="W241" s="60"/>
    </row>
    <row r="242" spans="1:23" s="214" customFormat="1" x14ac:dyDescent="0.25">
      <c r="A242" s="266"/>
      <c r="B242" s="266"/>
      <c r="C242" s="54"/>
      <c r="D242" s="267"/>
      <c r="E242" s="268"/>
      <c r="F242" s="55"/>
      <c r="G242" s="269"/>
      <c r="H242" s="269"/>
      <c r="I242" s="55"/>
      <c r="J242" s="269"/>
      <c r="K242" s="270"/>
      <c r="L242" s="269"/>
      <c r="M242" s="62"/>
      <c r="N242" s="62"/>
      <c r="O242" s="62"/>
      <c r="P242" s="62"/>
      <c r="Q242" s="62"/>
      <c r="R242" s="62"/>
      <c r="W242" s="60"/>
    </row>
    <row r="243" spans="1:23" s="214" customFormat="1" x14ac:dyDescent="0.25">
      <c r="A243" s="266"/>
      <c r="B243" s="266"/>
      <c r="C243" s="54"/>
      <c r="D243" s="267"/>
      <c r="E243" s="268"/>
      <c r="F243" s="55"/>
      <c r="G243" s="269"/>
      <c r="H243" s="269"/>
      <c r="I243" s="55"/>
      <c r="J243" s="269"/>
      <c r="K243" s="270"/>
      <c r="L243" s="269"/>
      <c r="M243" s="62"/>
      <c r="N243" s="62"/>
      <c r="O243" s="62"/>
      <c r="P243" s="62"/>
      <c r="Q243" s="62"/>
      <c r="R243" s="62"/>
      <c r="W243" s="60"/>
    </row>
    <row r="244" spans="1:23" s="214" customFormat="1" x14ac:dyDescent="0.25">
      <c r="A244" s="266"/>
      <c r="B244" s="266"/>
      <c r="C244" s="54"/>
      <c r="D244" s="267"/>
      <c r="E244" s="268"/>
      <c r="F244" s="55"/>
      <c r="G244" s="269"/>
      <c r="H244" s="269"/>
      <c r="I244" s="55"/>
      <c r="J244" s="269"/>
      <c r="K244" s="270"/>
      <c r="L244" s="269"/>
      <c r="M244" s="62"/>
      <c r="N244" s="62"/>
      <c r="O244" s="62"/>
      <c r="P244" s="62"/>
      <c r="Q244" s="62"/>
      <c r="R244" s="62"/>
      <c r="W244" s="60"/>
    </row>
    <row r="245" spans="1:23" s="214" customFormat="1" x14ac:dyDescent="0.25">
      <c r="A245" s="266"/>
      <c r="B245" s="266"/>
      <c r="C245" s="54"/>
      <c r="D245" s="267"/>
      <c r="E245" s="268"/>
      <c r="F245" s="55"/>
      <c r="G245" s="269"/>
      <c r="H245" s="269"/>
      <c r="I245" s="55"/>
      <c r="J245" s="269"/>
      <c r="K245" s="270"/>
      <c r="L245" s="269"/>
      <c r="M245" s="62"/>
      <c r="N245" s="62"/>
      <c r="O245" s="62"/>
      <c r="P245" s="62"/>
      <c r="Q245" s="62"/>
      <c r="R245" s="62"/>
      <c r="W245" s="60"/>
    </row>
    <row r="246" spans="1:23" s="214" customFormat="1" x14ac:dyDescent="0.25">
      <c r="A246" s="266"/>
      <c r="B246" s="266"/>
      <c r="C246" s="54"/>
      <c r="D246" s="267"/>
      <c r="E246" s="268"/>
      <c r="F246" s="55"/>
      <c r="G246" s="269"/>
      <c r="H246" s="269"/>
      <c r="I246" s="55"/>
      <c r="J246" s="269"/>
      <c r="K246" s="270"/>
      <c r="L246" s="269"/>
      <c r="M246" s="62"/>
      <c r="N246" s="62"/>
      <c r="O246" s="62"/>
      <c r="P246" s="62"/>
      <c r="Q246" s="62"/>
      <c r="R246" s="62"/>
      <c r="W246" s="60"/>
    </row>
    <row r="247" spans="1:23" s="214" customFormat="1" x14ac:dyDescent="0.25">
      <c r="A247" s="266"/>
      <c r="B247" s="266"/>
      <c r="C247" s="54"/>
      <c r="D247" s="267"/>
      <c r="E247" s="268"/>
      <c r="F247" s="55"/>
      <c r="G247" s="269"/>
      <c r="H247" s="269"/>
      <c r="I247" s="55"/>
      <c r="J247" s="269"/>
      <c r="K247" s="270"/>
      <c r="L247" s="269"/>
      <c r="M247" s="62"/>
      <c r="N247" s="62"/>
      <c r="O247" s="62"/>
      <c r="P247" s="62"/>
      <c r="Q247" s="62"/>
      <c r="R247" s="62"/>
      <c r="W247" s="60"/>
    </row>
    <row r="248" spans="1:23" s="214" customFormat="1" x14ac:dyDescent="0.25">
      <c r="A248" s="266"/>
      <c r="B248" s="266"/>
      <c r="C248" s="54"/>
      <c r="D248" s="267"/>
      <c r="E248" s="268"/>
      <c r="F248" s="55"/>
      <c r="G248" s="269"/>
      <c r="H248" s="269"/>
      <c r="I248" s="55"/>
      <c r="J248" s="269"/>
      <c r="K248" s="270"/>
      <c r="L248" s="269"/>
      <c r="M248" s="62"/>
      <c r="N248" s="62"/>
      <c r="O248" s="62"/>
      <c r="P248" s="62"/>
      <c r="Q248" s="62"/>
      <c r="R248" s="62"/>
      <c r="W248" s="60"/>
    </row>
    <row r="249" spans="1:23" s="214" customFormat="1" x14ac:dyDescent="0.25">
      <c r="A249" s="266"/>
      <c r="B249" s="266"/>
      <c r="C249" s="54"/>
      <c r="D249" s="267"/>
      <c r="E249" s="268"/>
      <c r="F249" s="55"/>
      <c r="G249" s="269"/>
      <c r="H249" s="269"/>
      <c r="I249" s="55"/>
      <c r="J249" s="269"/>
      <c r="K249" s="270"/>
      <c r="L249" s="269"/>
      <c r="M249" s="62"/>
      <c r="N249" s="62"/>
      <c r="O249" s="62"/>
      <c r="P249" s="62"/>
      <c r="Q249" s="62"/>
      <c r="R249" s="62"/>
      <c r="W249" s="60"/>
    </row>
    <row r="250" spans="1:23" s="214" customFormat="1" x14ac:dyDescent="0.25">
      <c r="A250" s="266"/>
      <c r="B250" s="266"/>
      <c r="C250" s="54"/>
      <c r="D250" s="267"/>
      <c r="E250" s="268"/>
      <c r="F250" s="55"/>
      <c r="G250" s="269"/>
      <c r="H250" s="269"/>
      <c r="I250" s="55"/>
      <c r="J250" s="269"/>
      <c r="K250" s="270"/>
      <c r="L250" s="269"/>
      <c r="M250" s="62"/>
      <c r="N250" s="62"/>
      <c r="O250" s="62"/>
      <c r="P250" s="62"/>
      <c r="Q250" s="62"/>
      <c r="R250" s="62"/>
      <c r="W250" s="60"/>
    </row>
    <row r="251" spans="1:23" s="214" customFormat="1" x14ac:dyDescent="0.25">
      <c r="A251" s="266"/>
      <c r="B251" s="266"/>
      <c r="C251" s="54"/>
      <c r="D251" s="267"/>
      <c r="E251" s="268"/>
      <c r="F251" s="55"/>
      <c r="G251" s="269"/>
      <c r="H251" s="269"/>
      <c r="I251" s="55"/>
      <c r="J251" s="269"/>
      <c r="K251" s="270"/>
      <c r="L251" s="269"/>
      <c r="M251" s="62"/>
      <c r="N251" s="62"/>
      <c r="O251" s="62"/>
      <c r="P251" s="62"/>
      <c r="Q251" s="62"/>
      <c r="R251" s="62"/>
      <c r="W251" s="60"/>
    </row>
    <row r="252" spans="1:23" s="214" customFormat="1" x14ac:dyDescent="0.25">
      <c r="A252" s="266"/>
      <c r="B252" s="266"/>
      <c r="C252" s="54"/>
      <c r="D252" s="267"/>
      <c r="E252" s="268"/>
      <c r="F252" s="55"/>
      <c r="G252" s="269"/>
      <c r="H252" s="269"/>
      <c r="I252" s="55"/>
      <c r="J252" s="269"/>
      <c r="K252" s="270"/>
      <c r="L252" s="269"/>
      <c r="M252" s="62"/>
      <c r="N252" s="62"/>
      <c r="O252" s="62"/>
      <c r="P252" s="62"/>
      <c r="Q252" s="62"/>
      <c r="R252" s="62"/>
      <c r="W252" s="60"/>
    </row>
    <row r="253" spans="1:23" s="214" customFormat="1" x14ac:dyDescent="0.25">
      <c r="A253" s="266"/>
      <c r="B253" s="266"/>
      <c r="C253" s="54"/>
      <c r="D253" s="267"/>
      <c r="E253" s="268"/>
      <c r="F253" s="55"/>
      <c r="G253" s="269"/>
      <c r="H253" s="269"/>
      <c r="I253" s="55"/>
      <c r="J253" s="269"/>
      <c r="K253" s="270"/>
      <c r="L253" s="269"/>
      <c r="M253" s="62"/>
      <c r="N253" s="62"/>
      <c r="O253" s="62"/>
      <c r="P253" s="62"/>
      <c r="Q253" s="62"/>
      <c r="R253" s="62"/>
      <c r="W253" s="60"/>
    </row>
    <row r="254" spans="1:23" s="214" customFormat="1" x14ac:dyDescent="0.25">
      <c r="A254" s="266"/>
      <c r="B254" s="266"/>
      <c r="C254" s="54"/>
      <c r="D254" s="267"/>
      <c r="E254" s="268"/>
      <c r="F254" s="55"/>
      <c r="G254" s="269"/>
      <c r="H254" s="269"/>
      <c r="I254" s="55"/>
      <c r="J254" s="269"/>
      <c r="K254" s="270"/>
      <c r="L254" s="269"/>
      <c r="M254" s="62"/>
      <c r="N254" s="62"/>
      <c r="O254" s="62"/>
      <c r="P254" s="62"/>
      <c r="Q254" s="62"/>
      <c r="R254" s="62"/>
      <c r="W254" s="60"/>
    </row>
    <row r="255" spans="1:23" s="214" customFormat="1" x14ac:dyDescent="0.25">
      <c r="A255" s="266"/>
      <c r="B255" s="266"/>
      <c r="C255" s="54"/>
      <c r="D255" s="267"/>
      <c r="E255" s="268"/>
      <c r="F255" s="55"/>
      <c r="G255" s="269"/>
      <c r="H255" s="269"/>
      <c r="I255" s="55"/>
      <c r="J255" s="269"/>
      <c r="K255" s="270"/>
      <c r="L255" s="269"/>
      <c r="M255" s="62"/>
      <c r="N255" s="62"/>
      <c r="O255" s="62"/>
      <c r="P255" s="62"/>
      <c r="Q255" s="62"/>
      <c r="R255" s="62"/>
      <c r="W255" s="60"/>
    </row>
    <row r="256" spans="1:23" s="214" customFormat="1" x14ac:dyDescent="0.25">
      <c r="A256" s="266"/>
      <c r="B256" s="266"/>
      <c r="C256" s="54"/>
      <c r="D256" s="267"/>
      <c r="E256" s="268"/>
      <c r="F256" s="55"/>
      <c r="G256" s="269"/>
      <c r="H256" s="269"/>
      <c r="I256" s="55"/>
      <c r="J256" s="269"/>
      <c r="K256" s="270"/>
      <c r="L256" s="269"/>
      <c r="M256" s="62"/>
      <c r="N256" s="62"/>
      <c r="O256" s="62"/>
      <c r="P256" s="62"/>
      <c r="Q256" s="62"/>
      <c r="R256" s="62"/>
      <c r="W256" s="60"/>
    </row>
    <row r="257" spans="1:23" s="214" customFormat="1" x14ac:dyDescent="0.25">
      <c r="A257" s="266"/>
      <c r="B257" s="266"/>
      <c r="C257" s="54"/>
      <c r="D257" s="267"/>
      <c r="E257" s="268"/>
      <c r="F257" s="55"/>
      <c r="G257" s="269"/>
      <c r="H257" s="269"/>
      <c r="I257" s="55"/>
      <c r="J257" s="269"/>
      <c r="K257" s="270"/>
      <c r="L257" s="269"/>
      <c r="M257" s="62"/>
      <c r="N257" s="62"/>
      <c r="O257" s="62"/>
      <c r="P257" s="62"/>
      <c r="Q257" s="62"/>
      <c r="R257" s="62"/>
      <c r="W257" s="60"/>
    </row>
    <row r="258" spans="1:23" s="214" customFormat="1" x14ac:dyDescent="0.25">
      <c r="A258" s="266"/>
      <c r="B258" s="266"/>
      <c r="C258" s="54"/>
      <c r="D258" s="267"/>
      <c r="E258" s="268"/>
      <c r="F258" s="55"/>
      <c r="G258" s="269"/>
      <c r="H258" s="269"/>
      <c r="I258" s="55"/>
      <c r="J258" s="269"/>
      <c r="K258" s="270"/>
      <c r="L258" s="269"/>
      <c r="M258" s="62"/>
      <c r="N258" s="62"/>
      <c r="O258" s="62"/>
      <c r="P258" s="62"/>
      <c r="Q258" s="62"/>
      <c r="R258" s="62"/>
      <c r="W258" s="60"/>
    </row>
    <row r="259" spans="1:23" s="214" customFormat="1" x14ac:dyDescent="0.25">
      <c r="A259" s="266"/>
      <c r="B259" s="266"/>
      <c r="C259" s="54"/>
      <c r="D259" s="267"/>
      <c r="E259" s="268"/>
      <c r="F259" s="55"/>
      <c r="G259" s="269"/>
      <c r="H259" s="269"/>
      <c r="I259" s="55"/>
      <c r="J259" s="269"/>
      <c r="K259" s="270"/>
      <c r="L259" s="269"/>
      <c r="M259" s="62"/>
      <c r="N259" s="62"/>
      <c r="O259" s="62"/>
      <c r="P259" s="62"/>
      <c r="Q259" s="62"/>
      <c r="R259" s="62"/>
      <c r="W259" s="60"/>
    </row>
    <row r="260" spans="1:23" s="214" customFormat="1" x14ac:dyDescent="0.25">
      <c r="A260" s="266"/>
      <c r="B260" s="266"/>
      <c r="C260" s="54"/>
      <c r="D260" s="267"/>
      <c r="E260" s="268"/>
      <c r="F260" s="55"/>
      <c r="G260" s="269"/>
      <c r="H260" s="269"/>
      <c r="I260" s="55"/>
      <c r="J260" s="269"/>
      <c r="K260" s="270"/>
      <c r="L260" s="269"/>
      <c r="M260" s="62"/>
      <c r="N260" s="62"/>
      <c r="O260" s="62"/>
      <c r="P260" s="62"/>
      <c r="Q260" s="62"/>
      <c r="R260" s="62"/>
      <c r="W260" s="60"/>
    </row>
    <row r="261" spans="1:23" s="214" customFormat="1" x14ac:dyDescent="0.25">
      <c r="A261" s="266"/>
      <c r="B261" s="266"/>
      <c r="C261" s="54"/>
      <c r="D261" s="267"/>
      <c r="E261" s="268"/>
      <c r="F261" s="55"/>
      <c r="G261" s="269"/>
      <c r="H261" s="269"/>
      <c r="I261" s="55"/>
      <c r="J261" s="269"/>
      <c r="K261" s="270"/>
      <c r="L261" s="269"/>
      <c r="M261" s="62"/>
      <c r="N261" s="62"/>
      <c r="O261" s="62"/>
      <c r="P261" s="62"/>
      <c r="Q261" s="62"/>
      <c r="R261" s="62"/>
      <c r="W261" s="60"/>
    </row>
    <row r="262" spans="1:23" s="214" customFormat="1" x14ac:dyDescent="0.25">
      <c r="A262" s="266"/>
      <c r="B262" s="266"/>
      <c r="C262" s="54"/>
      <c r="D262" s="267"/>
      <c r="E262" s="268"/>
      <c r="F262" s="55"/>
      <c r="G262" s="269"/>
      <c r="H262" s="269"/>
      <c r="I262" s="55"/>
      <c r="J262" s="269"/>
      <c r="K262" s="270"/>
      <c r="L262" s="269"/>
      <c r="M262" s="62"/>
      <c r="N262" s="62"/>
      <c r="O262" s="62"/>
      <c r="P262" s="62"/>
      <c r="Q262" s="62"/>
      <c r="R262" s="62"/>
      <c r="W262" s="60"/>
    </row>
    <row r="263" spans="1:23" s="214" customFormat="1" x14ac:dyDescent="0.25">
      <c r="A263" s="266"/>
      <c r="B263" s="266"/>
      <c r="C263" s="54"/>
      <c r="D263" s="267"/>
      <c r="E263" s="268"/>
      <c r="F263" s="55"/>
      <c r="G263" s="269"/>
      <c r="H263" s="269"/>
      <c r="I263" s="55"/>
      <c r="J263" s="269"/>
      <c r="K263" s="270"/>
      <c r="L263" s="269"/>
      <c r="M263" s="62"/>
      <c r="N263" s="62"/>
      <c r="O263" s="62"/>
      <c r="P263" s="62"/>
      <c r="Q263" s="62"/>
      <c r="R263" s="62"/>
      <c r="W263" s="60"/>
    </row>
    <row r="264" spans="1:23" s="214" customFormat="1" x14ac:dyDescent="0.25">
      <c r="A264" s="266"/>
      <c r="B264" s="266"/>
      <c r="C264" s="54"/>
      <c r="D264" s="267"/>
      <c r="E264" s="268"/>
      <c r="F264" s="55"/>
      <c r="G264" s="269"/>
      <c r="H264" s="269"/>
      <c r="I264" s="55"/>
      <c r="J264" s="269"/>
      <c r="K264" s="270"/>
      <c r="L264" s="269"/>
      <c r="M264" s="62"/>
      <c r="N264" s="62"/>
      <c r="O264" s="62"/>
      <c r="P264" s="62"/>
      <c r="Q264" s="62"/>
      <c r="R264" s="62"/>
      <c r="W264" s="60"/>
    </row>
    <row r="265" spans="1:23" s="214" customFormat="1" x14ac:dyDescent="0.25">
      <c r="A265" s="266"/>
      <c r="B265" s="266"/>
      <c r="C265" s="54"/>
      <c r="D265" s="267"/>
      <c r="E265" s="268"/>
      <c r="F265" s="55"/>
      <c r="G265" s="269"/>
      <c r="H265" s="269"/>
      <c r="I265" s="55"/>
      <c r="J265" s="269"/>
      <c r="K265" s="270"/>
      <c r="L265" s="269"/>
      <c r="M265" s="62"/>
      <c r="N265" s="62"/>
      <c r="O265" s="62"/>
      <c r="P265" s="62"/>
      <c r="Q265" s="62"/>
      <c r="R265" s="62"/>
      <c r="W265" s="60"/>
    </row>
    <row r="266" spans="1:23" s="214" customFormat="1" x14ac:dyDescent="0.25">
      <c r="A266" s="266"/>
      <c r="B266" s="266"/>
      <c r="C266" s="54"/>
      <c r="D266" s="267"/>
      <c r="E266" s="268"/>
      <c r="F266" s="55"/>
      <c r="G266" s="269"/>
      <c r="H266" s="269"/>
      <c r="I266" s="55"/>
      <c r="J266" s="269"/>
      <c r="K266" s="270"/>
      <c r="L266" s="269"/>
      <c r="M266" s="62"/>
      <c r="N266" s="62"/>
      <c r="O266" s="62"/>
      <c r="P266" s="62"/>
      <c r="Q266" s="62"/>
      <c r="R266" s="62"/>
      <c r="W266" s="60"/>
    </row>
    <row r="267" spans="1:23" s="214" customFormat="1" x14ac:dyDescent="0.25">
      <c r="A267" s="266"/>
      <c r="B267" s="266"/>
      <c r="C267" s="54"/>
      <c r="D267" s="267"/>
      <c r="E267" s="268"/>
      <c r="F267" s="55"/>
      <c r="G267" s="269"/>
      <c r="H267" s="269"/>
      <c r="I267" s="55"/>
      <c r="J267" s="269"/>
      <c r="K267" s="270"/>
      <c r="L267" s="269"/>
      <c r="M267" s="62"/>
      <c r="N267" s="62"/>
      <c r="O267" s="62"/>
      <c r="P267" s="62"/>
      <c r="Q267" s="62"/>
      <c r="R267" s="62"/>
      <c r="W267" s="60"/>
    </row>
    <row r="268" spans="1:23" s="214" customFormat="1" x14ac:dyDescent="0.25">
      <c r="A268" s="266"/>
      <c r="B268" s="266"/>
      <c r="C268" s="54"/>
      <c r="D268" s="267"/>
      <c r="E268" s="268"/>
      <c r="F268" s="55"/>
      <c r="G268" s="269"/>
      <c r="H268" s="269"/>
      <c r="I268" s="55"/>
      <c r="J268" s="269"/>
      <c r="K268" s="270"/>
      <c r="L268" s="269"/>
      <c r="M268" s="62"/>
      <c r="N268" s="62"/>
      <c r="O268" s="62"/>
      <c r="P268" s="62"/>
      <c r="Q268" s="62"/>
      <c r="R268" s="62"/>
      <c r="W268" s="60"/>
    </row>
    <row r="269" spans="1:23" s="214" customFormat="1" x14ac:dyDescent="0.25">
      <c r="A269" s="266"/>
      <c r="B269" s="266"/>
      <c r="C269" s="54"/>
      <c r="D269" s="267"/>
      <c r="E269" s="268"/>
      <c r="F269" s="55"/>
      <c r="G269" s="269"/>
      <c r="H269" s="269"/>
      <c r="I269" s="55"/>
      <c r="J269" s="269"/>
      <c r="K269" s="270"/>
      <c r="L269" s="269"/>
      <c r="M269" s="62"/>
      <c r="N269" s="62"/>
      <c r="O269" s="62"/>
      <c r="P269" s="62"/>
      <c r="Q269" s="62"/>
      <c r="R269" s="62"/>
      <c r="W269" s="60"/>
    </row>
    <row r="270" spans="1:23" s="214" customFormat="1" x14ac:dyDescent="0.25">
      <c r="A270" s="266"/>
      <c r="B270" s="266"/>
      <c r="C270" s="54"/>
      <c r="D270" s="267"/>
      <c r="E270" s="268"/>
      <c r="F270" s="55"/>
      <c r="G270" s="269"/>
      <c r="H270" s="269"/>
      <c r="I270" s="55"/>
      <c r="J270" s="269"/>
      <c r="K270" s="270"/>
      <c r="L270" s="269"/>
      <c r="M270" s="62"/>
      <c r="N270" s="62"/>
      <c r="O270" s="62"/>
      <c r="P270" s="62"/>
      <c r="Q270" s="62"/>
      <c r="R270" s="62"/>
      <c r="W270" s="60"/>
    </row>
    <row r="271" spans="1:23" s="214" customFormat="1" x14ac:dyDescent="0.25">
      <c r="A271" s="266"/>
      <c r="B271" s="266"/>
      <c r="C271" s="54"/>
      <c r="D271" s="267"/>
      <c r="E271" s="268"/>
      <c r="F271" s="55"/>
      <c r="G271" s="269"/>
      <c r="H271" s="269"/>
      <c r="I271" s="55"/>
      <c r="J271" s="269"/>
      <c r="K271" s="270"/>
      <c r="L271" s="269"/>
      <c r="M271" s="62"/>
      <c r="N271" s="62"/>
      <c r="O271" s="62"/>
      <c r="P271" s="62"/>
      <c r="Q271" s="62"/>
      <c r="R271" s="62"/>
      <c r="W271" s="60"/>
    </row>
    <row r="272" spans="1:23" s="214" customFormat="1" x14ac:dyDescent="0.25">
      <c r="A272" s="266"/>
      <c r="B272" s="266"/>
      <c r="C272" s="54"/>
      <c r="D272" s="267"/>
      <c r="E272" s="268"/>
      <c r="F272" s="55"/>
      <c r="G272" s="269"/>
      <c r="H272" s="269"/>
      <c r="I272" s="55"/>
      <c r="J272" s="269"/>
      <c r="K272" s="270"/>
      <c r="L272" s="269"/>
      <c r="M272" s="62"/>
      <c r="N272" s="62"/>
      <c r="O272" s="62"/>
      <c r="P272" s="62"/>
      <c r="Q272" s="62"/>
      <c r="R272" s="62"/>
      <c r="W272" s="60"/>
    </row>
    <row r="273" spans="1:23" s="214" customFormat="1" x14ac:dyDescent="0.25">
      <c r="A273" s="266"/>
      <c r="B273" s="266"/>
      <c r="C273" s="54"/>
      <c r="D273" s="267"/>
      <c r="E273" s="268"/>
      <c r="F273" s="55"/>
      <c r="G273" s="269"/>
      <c r="H273" s="269"/>
      <c r="I273" s="55"/>
      <c r="J273" s="269"/>
      <c r="K273" s="270"/>
      <c r="L273" s="269"/>
      <c r="M273" s="62"/>
      <c r="N273" s="62"/>
      <c r="O273" s="62"/>
      <c r="P273" s="62"/>
      <c r="Q273" s="62"/>
      <c r="R273" s="62"/>
      <c r="W273" s="60"/>
    </row>
    <row r="274" spans="1:23" s="214" customFormat="1" x14ac:dyDescent="0.25">
      <c r="A274" s="266"/>
      <c r="B274" s="266"/>
      <c r="C274" s="54"/>
      <c r="D274" s="267"/>
      <c r="E274" s="268"/>
      <c r="F274" s="55"/>
      <c r="G274" s="269"/>
      <c r="H274" s="269"/>
      <c r="I274" s="55"/>
      <c r="J274" s="269"/>
      <c r="K274" s="270"/>
      <c r="L274" s="269"/>
      <c r="M274" s="62"/>
      <c r="N274" s="62"/>
      <c r="O274" s="62"/>
      <c r="P274" s="62"/>
      <c r="Q274" s="62"/>
      <c r="R274" s="62"/>
      <c r="W274" s="60"/>
    </row>
    <row r="275" spans="1:23" s="214" customFormat="1" x14ac:dyDescent="0.25">
      <c r="A275" s="266"/>
      <c r="B275" s="266"/>
      <c r="C275" s="54"/>
      <c r="D275" s="267"/>
      <c r="E275" s="268"/>
      <c r="F275" s="55"/>
      <c r="G275" s="269"/>
      <c r="H275" s="269"/>
      <c r="I275" s="55"/>
      <c r="J275" s="269"/>
      <c r="K275" s="270"/>
      <c r="L275" s="269"/>
      <c r="M275" s="62"/>
      <c r="N275" s="62"/>
      <c r="O275" s="62"/>
      <c r="P275" s="62"/>
      <c r="Q275" s="62"/>
      <c r="R275" s="62"/>
      <c r="W275" s="60"/>
    </row>
    <row r="276" spans="1:23" s="214" customFormat="1" x14ac:dyDescent="0.25">
      <c r="A276" s="266"/>
      <c r="B276" s="266"/>
      <c r="C276" s="54"/>
      <c r="D276" s="267"/>
      <c r="E276" s="268"/>
      <c r="F276" s="55"/>
      <c r="G276" s="269"/>
      <c r="H276" s="269"/>
      <c r="I276" s="55"/>
      <c r="J276" s="269"/>
      <c r="K276" s="270"/>
      <c r="L276" s="269"/>
      <c r="M276" s="62"/>
      <c r="N276" s="62"/>
      <c r="O276" s="62"/>
      <c r="P276" s="62"/>
      <c r="Q276" s="62"/>
      <c r="R276" s="62"/>
      <c r="W276" s="60"/>
    </row>
    <row r="277" spans="1:23" s="214" customFormat="1" x14ac:dyDescent="0.25">
      <c r="A277" s="266"/>
      <c r="B277" s="266"/>
      <c r="C277" s="54"/>
      <c r="D277" s="267"/>
      <c r="E277" s="268"/>
      <c r="F277" s="55"/>
      <c r="G277" s="269"/>
      <c r="H277" s="269"/>
      <c r="I277" s="55"/>
      <c r="J277" s="269"/>
      <c r="K277" s="270"/>
      <c r="L277" s="269"/>
      <c r="M277" s="62"/>
      <c r="N277" s="62"/>
      <c r="O277" s="62"/>
      <c r="P277" s="62"/>
      <c r="Q277" s="62"/>
      <c r="R277" s="62"/>
      <c r="W277" s="60"/>
    </row>
    <row r="278" spans="1:23" s="214" customFormat="1" x14ac:dyDescent="0.25">
      <c r="A278" s="266"/>
      <c r="B278" s="266"/>
      <c r="C278" s="54"/>
      <c r="D278" s="267"/>
      <c r="E278" s="268"/>
      <c r="F278" s="55"/>
      <c r="G278" s="269"/>
      <c r="H278" s="269"/>
      <c r="I278" s="55"/>
      <c r="J278" s="269"/>
      <c r="K278" s="270"/>
      <c r="L278" s="269"/>
      <c r="M278" s="62"/>
      <c r="N278" s="62"/>
      <c r="O278" s="62"/>
      <c r="P278" s="62"/>
      <c r="Q278" s="62"/>
      <c r="R278" s="62"/>
      <c r="W278" s="60"/>
    </row>
    <row r="279" spans="1:23" s="214" customFormat="1" x14ac:dyDescent="0.25">
      <c r="A279" s="266"/>
      <c r="B279" s="266"/>
      <c r="C279" s="54"/>
      <c r="D279" s="267"/>
      <c r="E279" s="268"/>
      <c r="F279" s="55"/>
      <c r="G279" s="269"/>
      <c r="H279" s="269"/>
      <c r="I279" s="55"/>
      <c r="J279" s="269"/>
      <c r="K279" s="270"/>
      <c r="L279" s="269"/>
      <c r="M279" s="62"/>
      <c r="N279" s="62"/>
      <c r="O279" s="62"/>
      <c r="P279" s="62"/>
      <c r="Q279" s="62"/>
      <c r="R279" s="62"/>
      <c r="W279" s="60"/>
    </row>
    <row r="280" spans="1:23" s="214" customFormat="1" x14ac:dyDescent="0.25">
      <c r="A280" s="266"/>
      <c r="B280" s="266"/>
      <c r="C280" s="54"/>
      <c r="D280" s="267"/>
      <c r="E280" s="268"/>
      <c r="F280" s="55"/>
      <c r="G280" s="269"/>
      <c r="H280" s="269"/>
      <c r="I280" s="55"/>
      <c r="J280" s="269"/>
      <c r="K280" s="270"/>
      <c r="L280" s="269"/>
      <c r="M280" s="62"/>
      <c r="N280" s="62"/>
      <c r="O280" s="62"/>
      <c r="P280" s="62"/>
      <c r="Q280" s="62"/>
      <c r="R280" s="62"/>
      <c r="W280" s="60"/>
    </row>
    <row r="281" spans="1:23" s="214" customFormat="1" x14ac:dyDescent="0.25">
      <c r="A281" s="266"/>
      <c r="B281" s="266"/>
      <c r="C281" s="54"/>
      <c r="D281" s="267"/>
      <c r="E281" s="268"/>
      <c r="F281" s="55"/>
      <c r="G281" s="269"/>
      <c r="H281" s="269"/>
      <c r="I281" s="55"/>
      <c r="J281" s="269"/>
      <c r="K281" s="270"/>
      <c r="L281" s="269"/>
      <c r="M281" s="62"/>
      <c r="N281" s="62"/>
      <c r="O281" s="62"/>
      <c r="P281" s="62"/>
      <c r="Q281" s="62"/>
      <c r="R281" s="62"/>
      <c r="W281" s="60"/>
    </row>
    <row r="282" spans="1:23" s="214" customFormat="1" x14ac:dyDescent="0.25">
      <c r="A282" s="266"/>
      <c r="B282" s="266"/>
      <c r="C282" s="54"/>
      <c r="D282" s="267"/>
      <c r="E282" s="268"/>
      <c r="F282" s="55"/>
      <c r="G282" s="269"/>
      <c r="H282" s="269"/>
      <c r="I282" s="55"/>
      <c r="J282" s="269"/>
      <c r="K282" s="270"/>
      <c r="L282" s="269"/>
      <c r="M282" s="62"/>
      <c r="N282" s="62"/>
      <c r="O282" s="62"/>
      <c r="P282" s="62"/>
      <c r="Q282" s="62"/>
      <c r="R282" s="62"/>
      <c r="W282" s="60"/>
    </row>
    <row r="283" spans="1:23" s="214" customFormat="1" x14ac:dyDescent="0.25">
      <c r="A283" s="266"/>
      <c r="B283" s="266"/>
      <c r="C283" s="54"/>
      <c r="D283" s="267"/>
      <c r="E283" s="268"/>
      <c r="F283" s="55"/>
      <c r="G283" s="269"/>
      <c r="H283" s="269"/>
      <c r="I283" s="55"/>
      <c r="J283" s="269"/>
      <c r="K283" s="270"/>
      <c r="L283" s="269"/>
      <c r="M283" s="62"/>
      <c r="N283" s="62"/>
      <c r="O283" s="62"/>
      <c r="P283" s="62"/>
      <c r="Q283" s="62"/>
      <c r="R283" s="62"/>
      <c r="W283" s="60"/>
    </row>
    <row r="284" spans="1:23" s="214" customFormat="1" x14ac:dyDescent="0.25">
      <c r="A284" s="266"/>
      <c r="B284" s="266"/>
      <c r="C284" s="54"/>
      <c r="D284" s="267"/>
      <c r="E284" s="268"/>
      <c r="F284" s="55"/>
      <c r="G284" s="269"/>
      <c r="H284" s="269"/>
      <c r="I284" s="55"/>
      <c r="J284" s="269"/>
      <c r="K284" s="270"/>
      <c r="L284" s="269"/>
      <c r="M284" s="62"/>
      <c r="N284" s="62"/>
      <c r="O284" s="62"/>
      <c r="P284" s="62"/>
      <c r="Q284" s="62"/>
      <c r="R284" s="62"/>
      <c r="W284" s="60"/>
    </row>
    <row r="285" spans="1:23" s="214" customFormat="1" x14ac:dyDescent="0.25">
      <c r="A285" s="266"/>
      <c r="B285" s="266"/>
      <c r="C285" s="54"/>
      <c r="D285" s="267"/>
      <c r="E285" s="268"/>
      <c r="F285" s="55"/>
      <c r="G285" s="269"/>
      <c r="H285" s="269"/>
      <c r="I285" s="55"/>
      <c r="J285" s="269"/>
      <c r="K285" s="270"/>
      <c r="L285" s="269"/>
      <c r="M285" s="62"/>
      <c r="N285" s="62"/>
      <c r="O285" s="62"/>
      <c r="P285" s="62"/>
      <c r="Q285" s="62"/>
      <c r="R285" s="62"/>
      <c r="W285" s="60"/>
    </row>
    <row r="286" spans="1:23" s="214" customFormat="1" x14ac:dyDescent="0.25">
      <c r="A286" s="266"/>
      <c r="B286" s="266"/>
      <c r="C286" s="54"/>
      <c r="D286" s="267"/>
      <c r="E286" s="268"/>
      <c r="F286" s="55"/>
      <c r="G286" s="269"/>
      <c r="H286" s="269"/>
      <c r="I286" s="55"/>
      <c r="J286" s="269"/>
      <c r="K286" s="270"/>
      <c r="L286" s="269"/>
      <c r="M286" s="62"/>
      <c r="N286" s="62"/>
      <c r="O286" s="62"/>
      <c r="P286" s="62"/>
      <c r="Q286" s="62"/>
      <c r="R286" s="62"/>
      <c r="W286" s="60"/>
    </row>
    <row r="287" spans="1:23" s="214" customFormat="1" x14ac:dyDescent="0.25">
      <c r="A287" s="266"/>
      <c r="B287" s="266"/>
      <c r="C287" s="54"/>
      <c r="D287" s="267"/>
      <c r="E287" s="268"/>
      <c r="F287" s="55"/>
      <c r="G287" s="269"/>
      <c r="H287" s="269"/>
      <c r="I287" s="55"/>
      <c r="J287" s="269"/>
      <c r="K287" s="270"/>
      <c r="L287" s="269"/>
      <c r="M287" s="62"/>
      <c r="N287" s="62"/>
      <c r="O287" s="62"/>
      <c r="P287" s="62"/>
      <c r="Q287" s="62"/>
      <c r="R287" s="62"/>
      <c r="W287" s="60"/>
    </row>
    <row r="288" spans="1:23" s="214" customFormat="1" x14ac:dyDescent="0.25">
      <c r="A288" s="266"/>
      <c r="B288" s="266"/>
      <c r="C288" s="54"/>
      <c r="D288" s="267"/>
      <c r="E288" s="268"/>
      <c r="F288" s="55"/>
      <c r="G288" s="269"/>
      <c r="H288" s="269"/>
      <c r="I288" s="55"/>
      <c r="J288" s="269"/>
      <c r="K288" s="270"/>
      <c r="L288" s="269"/>
      <c r="M288" s="62"/>
      <c r="N288" s="62"/>
      <c r="O288" s="62"/>
      <c r="P288" s="62"/>
      <c r="Q288" s="62"/>
      <c r="R288" s="62"/>
      <c r="W288" s="60"/>
    </row>
    <row r="289" spans="1:23" s="214" customFormat="1" x14ac:dyDescent="0.25">
      <c r="A289" s="266"/>
      <c r="B289" s="266"/>
      <c r="C289" s="54"/>
      <c r="D289" s="267"/>
      <c r="E289" s="268"/>
      <c r="F289" s="55"/>
      <c r="G289" s="269"/>
      <c r="H289" s="269"/>
      <c r="I289" s="55"/>
      <c r="J289" s="269"/>
      <c r="K289" s="270"/>
      <c r="L289" s="269"/>
      <c r="M289" s="62"/>
      <c r="N289" s="62"/>
      <c r="O289" s="62"/>
      <c r="P289" s="62"/>
      <c r="Q289" s="62"/>
      <c r="R289" s="62"/>
      <c r="W289" s="60"/>
    </row>
    <row r="290" spans="1:23" s="214" customFormat="1" x14ac:dyDescent="0.25">
      <c r="A290" s="266"/>
      <c r="B290" s="266"/>
      <c r="C290" s="54"/>
      <c r="D290" s="267"/>
      <c r="E290" s="268"/>
      <c r="F290" s="55"/>
      <c r="G290" s="269"/>
      <c r="H290" s="269"/>
      <c r="I290" s="55"/>
      <c r="J290" s="269"/>
      <c r="K290" s="270"/>
      <c r="L290" s="269"/>
      <c r="M290" s="62"/>
      <c r="N290" s="62"/>
      <c r="O290" s="62"/>
      <c r="P290" s="62"/>
      <c r="Q290" s="62"/>
      <c r="R290" s="62"/>
      <c r="W290" s="60"/>
    </row>
    <row r="291" spans="1:23" s="214" customFormat="1" x14ac:dyDescent="0.25">
      <c r="A291" s="266"/>
      <c r="B291" s="266"/>
      <c r="C291" s="54"/>
      <c r="D291" s="267"/>
      <c r="E291" s="268"/>
      <c r="F291" s="55"/>
      <c r="G291" s="269"/>
      <c r="H291" s="269"/>
      <c r="I291" s="55"/>
      <c r="J291" s="269"/>
      <c r="K291" s="270"/>
      <c r="L291" s="269"/>
      <c r="M291" s="62"/>
      <c r="N291" s="62"/>
      <c r="O291" s="62"/>
      <c r="P291" s="62"/>
      <c r="Q291" s="62"/>
      <c r="R291" s="62"/>
      <c r="W291" s="60"/>
    </row>
    <row r="292" spans="1:23" s="214" customFormat="1" x14ac:dyDescent="0.25">
      <c r="A292" s="266"/>
      <c r="B292" s="266"/>
      <c r="C292" s="54"/>
      <c r="D292" s="267"/>
      <c r="E292" s="268"/>
      <c r="F292" s="55"/>
      <c r="G292" s="269"/>
      <c r="H292" s="269"/>
      <c r="I292" s="55"/>
      <c r="J292" s="269"/>
      <c r="K292" s="270"/>
      <c r="L292" s="269"/>
      <c r="M292" s="62"/>
      <c r="N292" s="62"/>
      <c r="O292" s="62"/>
      <c r="P292" s="62"/>
      <c r="Q292" s="62"/>
      <c r="R292" s="62"/>
      <c r="W292" s="60"/>
    </row>
    <row r="293" spans="1:23" s="214" customFormat="1" x14ac:dyDescent="0.25">
      <c r="A293" s="266"/>
      <c r="B293" s="266"/>
      <c r="C293" s="54"/>
      <c r="D293" s="267"/>
      <c r="E293" s="268"/>
      <c r="F293" s="55"/>
      <c r="G293" s="269"/>
      <c r="H293" s="269"/>
      <c r="I293" s="55"/>
      <c r="J293" s="269"/>
      <c r="K293" s="270"/>
      <c r="L293" s="269"/>
      <c r="M293" s="62"/>
      <c r="N293" s="62"/>
      <c r="O293" s="62"/>
      <c r="P293" s="62"/>
      <c r="Q293" s="62"/>
      <c r="R293" s="62"/>
      <c r="W293" s="60"/>
    </row>
    <row r="294" spans="1:23" s="214" customFormat="1" x14ac:dyDescent="0.25">
      <c r="A294" s="266"/>
      <c r="B294" s="266"/>
      <c r="C294" s="54"/>
      <c r="D294" s="267"/>
      <c r="E294" s="268"/>
      <c r="F294" s="55"/>
      <c r="G294" s="269"/>
      <c r="H294" s="269"/>
      <c r="I294" s="55"/>
      <c r="J294" s="269"/>
      <c r="K294" s="270"/>
      <c r="L294" s="269"/>
      <c r="M294" s="62"/>
      <c r="N294" s="62"/>
      <c r="O294" s="62"/>
      <c r="P294" s="62"/>
      <c r="Q294" s="62"/>
      <c r="R294" s="62"/>
      <c r="W294" s="60"/>
    </row>
    <row r="295" spans="1:23" s="214" customFormat="1" x14ac:dyDescent="0.25">
      <c r="A295" s="266"/>
      <c r="B295" s="266"/>
      <c r="C295" s="54"/>
      <c r="D295" s="267"/>
      <c r="E295" s="268"/>
      <c r="F295" s="55"/>
      <c r="G295" s="269"/>
      <c r="H295" s="269"/>
      <c r="I295" s="55"/>
      <c r="J295" s="269"/>
      <c r="K295" s="270"/>
      <c r="L295" s="269"/>
      <c r="M295" s="62"/>
      <c r="N295" s="62"/>
      <c r="O295" s="62"/>
      <c r="P295" s="62"/>
      <c r="Q295" s="62"/>
      <c r="R295" s="62"/>
      <c r="W295" s="60"/>
    </row>
    <row r="296" spans="1:23" s="214" customFormat="1" x14ac:dyDescent="0.25">
      <c r="A296" s="266"/>
      <c r="B296" s="266"/>
      <c r="C296" s="54"/>
      <c r="D296" s="267"/>
      <c r="E296" s="268"/>
      <c r="F296" s="55"/>
      <c r="G296" s="269"/>
      <c r="H296" s="269"/>
      <c r="I296" s="55"/>
      <c r="J296" s="269"/>
      <c r="K296" s="270"/>
      <c r="L296" s="269"/>
      <c r="M296" s="62"/>
      <c r="N296" s="62"/>
      <c r="O296" s="62"/>
      <c r="P296" s="62"/>
      <c r="Q296" s="62"/>
      <c r="R296" s="62"/>
      <c r="W296" s="60"/>
    </row>
    <row r="297" spans="1:23" s="214" customFormat="1" x14ac:dyDescent="0.25">
      <c r="A297" s="266"/>
      <c r="B297" s="266"/>
      <c r="C297" s="54"/>
      <c r="D297" s="267"/>
      <c r="E297" s="268"/>
      <c r="F297" s="55"/>
      <c r="G297" s="269"/>
      <c r="H297" s="269"/>
      <c r="I297" s="55"/>
      <c r="J297" s="269"/>
      <c r="K297" s="270"/>
      <c r="L297" s="269"/>
      <c r="M297" s="62"/>
      <c r="N297" s="62"/>
      <c r="O297" s="62"/>
      <c r="P297" s="62"/>
      <c r="Q297" s="62"/>
      <c r="R297" s="62"/>
      <c r="W297" s="60"/>
    </row>
    <row r="298" spans="1:23" s="214" customFormat="1" x14ac:dyDescent="0.25">
      <c r="A298" s="266"/>
      <c r="B298" s="266"/>
      <c r="C298" s="54"/>
      <c r="D298" s="267"/>
      <c r="E298" s="268"/>
      <c r="F298" s="55"/>
      <c r="G298" s="269"/>
      <c r="H298" s="269"/>
      <c r="I298" s="55"/>
      <c r="J298" s="269"/>
      <c r="K298" s="270"/>
      <c r="L298" s="269"/>
      <c r="M298" s="62"/>
      <c r="N298" s="62"/>
      <c r="O298" s="62"/>
      <c r="P298" s="62"/>
      <c r="Q298" s="62"/>
      <c r="R298" s="62"/>
      <c r="W298" s="60"/>
    </row>
    <row r="299" spans="1:23" s="214" customFormat="1" x14ac:dyDescent="0.25">
      <c r="A299" s="266"/>
      <c r="B299" s="266"/>
      <c r="C299" s="54"/>
      <c r="D299" s="267"/>
      <c r="E299" s="268"/>
      <c r="F299" s="55"/>
      <c r="G299" s="269"/>
      <c r="H299" s="269"/>
      <c r="I299" s="55"/>
      <c r="J299" s="269"/>
      <c r="K299" s="270"/>
      <c r="L299" s="269"/>
      <c r="M299" s="62"/>
      <c r="N299" s="62"/>
      <c r="O299" s="62"/>
      <c r="P299" s="62"/>
      <c r="Q299" s="62"/>
      <c r="R299" s="62"/>
      <c r="W299" s="60"/>
    </row>
    <row r="300" spans="1:23" s="214" customFormat="1" x14ac:dyDescent="0.25">
      <c r="A300" s="266"/>
      <c r="B300" s="266"/>
      <c r="C300" s="54"/>
      <c r="D300" s="267"/>
      <c r="E300" s="268"/>
      <c r="F300" s="55"/>
      <c r="G300" s="269"/>
      <c r="H300" s="269"/>
      <c r="I300" s="55"/>
      <c r="J300" s="269"/>
      <c r="K300" s="270"/>
      <c r="L300" s="269"/>
      <c r="M300" s="62"/>
      <c r="N300" s="62"/>
      <c r="O300" s="62"/>
      <c r="P300" s="62"/>
      <c r="Q300" s="62"/>
      <c r="R300" s="62"/>
      <c r="W300" s="60"/>
    </row>
    <row r="301" spans="1:23" s="214" customFormat="1" x14ac:dyDescent="0.25">
      <c r="A301" s="266"/>
      <c r="B301" s="266"/>
      <c r="C301" s="54"/>
      <c r="D301" s="267"/>
      <c r="E301" s="268"/>
      <c r="F301" s="55"/>
      <c r="G301" s="269"/>
      <c r="H301" s="269"/>
      <c r="I301" s="55"/>
      <c r="J301" s="269"/>
      <c r="K301" s="270"/>
      <c r="L301" s="269"/>
      <c r="M301" s="62"/>
      <c r="N301" s="62"/>
      <c r="O301" s="62"/>
      <c r="P301" s="62"/>
      <c r="Q301" s="62"/>
      <c r="R301" s="62"/>
      <c r="W301" s="60"/>
    </row>
    <row r="302" spans="1:23" s="214" customFormat="1" x14ac:dyDescent="0.25">
      <c r="A302" s="266"/>
      <c r="B302" s="266"/>
      <c r="C302" s="54"/>
      <c r="D302" s="267"/>
      <c r="E302" s="268"/>
      <c r="F302" s="55"/>
      <c r="G302" s="269"/>
      <c r="H302" s="269"/>
      <c r="I302" s="55"/>
      <c r="J302" s="269"/>
      <c r="K302" s="270"/>
      <c r="L302" s="269"/>
      <c r="M302" s="62"/>
      <c r="N302" s="62"/>
      <c r="O302" s="62"/>
      <c r="P302" s="62"/>
      <c r="Q302" s="62"/>
      <c r="R302" s="62"/>
      <c r="W302" s="60"/>
    </row>
    <row r="303" spans="1:23" s="214" customFormat="1" x14ac:dyDescent="0.25">
      <c r="A303" s="266"/>
      <c r="B303" s="266"/>
      <c r="C303" s="54"/>
      <c r="D303" s="267"/>
      <c r="E303" s="268"/>
      <c r="F303" s="55"/>
      <c r="G303" s="269"/>
      <c r="H303" s="269"/>
      <c r="I303" s="55"/>
      <c r="J303" s="269"/>
      <c r="K303" s="270"/>
      <c r="L303" s="269"/>
      <c r="M303" s="62"/>
      <c r="N303" s="62"/>
      <c r="O303" s="62"/>
      <c r="P303" s="62"/>
      <c r="Q303" s="62"/>
      <c r="R303" s="62"/>
      <c r="W303" s="60"/>
    </row>
    <row r="304" spans="1:23" s="214" customFormat="1" x14ac:dyDescent="0.25">
      <c r="A304" s="266"/>
      <c r="B304" s="266"/>
      <c r="C304" s="54"/>
      <c r="D304" s="267"/>
      <c r="E304" s="268"/>
      <c r="F304" s="55"/>
      <c r="G304" s="269"/>
      <c r="H304" s="269"/>
      <c r="I304" s="55"/>
      <c r="J304" s="269"/>
      <c r="K304" s="270"/>
      <c r="L304" s="269"/>
      <c r="M304" s="62"/>
      <c r="N304" s="62"/>
      <c r="O304" s="62"/>
      <c r="P304" s="62"/>
      <c r="Q304" s="62"/>
      <c r="R304" s="62"/>
      <c r="W304" s="60"/>
    </row>
    <row r="305" spans="1:23" s="214" customFormat="1" x14ac:dyDescent="0.25">
      <c r="A305" s="266"/>
      <c r="B305" s="266"/>
      <c r="C305" s="54"/>
      <c r="D305" s="267"/>
      <c r="E305" s="268"/>
      <c r="F305" s="55"/>
      <c r="G305" s="269"/>
      <c r="H305" s="269"/>
      <c r="I305" s="55"/>
      <c r="J305" s="269"/>
      <c r="K305" s="270"/>
      <c r="L305" s="269"/>
      <c r="M305" s="62"/>
      <c r="N305" s="62"/>
      <c r="O305" s="62"/>
      <c r="P305" s="62"/>
      <c r="Q305" s="62"/>
      <c r="R305" s="62"/>
      <c r="W305" s="60"/>
    </row>
    <row r="306" spans="1:23" s="214" customFormat="1" x14ac:dyDescent="0.25">
      <c r="A306" s="266"/>
      <c r="B306" s="266"/>
      <c r="C306" s="54"/>
      <c r="D306" s="267"/>
      <c r="E306" s="268"/>
      <c r="F306" s="55"/>
      <c r="G306" s="269"/>
      <c r="H306" s="269"/>
      <c r="I306" s="55"/>
      <c r="J306" s="269"/>
      <c r="K306" s="270"/>
      <c r="L306" s="269"/>
      <c r="M306" s="62"/>
      <c r="N306" s="62"/>
      <c r="O306" s="62"/>
      <c r="P306" s="62"/>
      <c r="Q306" s="62"/>
      <c r="R306" s="62"/>
      <c r="W306" s="60"/>
    </row>
    <row r="307" spans="1:23" s="214" customFormat="1" x14ac:dyDescent="0.25">
      <c r="A307" s="266"/>
      <c r="B307" s="266"/>
      <c r="C307" s="54"/>
      <c r="D307" s="267"/>
      <c r="E307" s="268"/>
      <c r="F307" s="55"/>
      <c r="G307" s="269"/>
      <c r="H307" s="269"/>
      <c r="I307" s="55"/>
      <c r="J307" s="269"/>
      <c r="K307" s="270"/>
      <c r="L307" s="269"/>
      <c r="M307" s="62"/>
      <c r="N307" s="62"/>
      <c r="O307" s="62"/>
      <c r="P307" s="62"/>
      <c r="Q307" s="62"/>
      <c r="R307" s="62"/>
      <c r="W307" s="60"/>
    </row>
    <row r="308" spans="1:23" s="214" customFormat="1" x14ac:dyDescent="0.25">
      <c r="A308" s="266"/>
      <c r="B308" s="266"/>
      <c r="C308" s="54"/>
      <c r="D308" s="267"/>
      <c r="E308" s="268"/>
      <c r="F308" s="55"/>
      <c r="G308" s="269"/>
      <c r="H308" s="269"/>
      <c r="I308" s="55"/>
      <c r="J308" s="269"/>
      <c r="K308" s="270"/>
      <c r="L308" s="269"/>
      <c r="M308" s="62"/>
      <c r="N308" s="62"/>
      <c r="O308" s="62"/>
      <c r="P308" s="62"/>
      <c r="Q308" s="62"/>
      <c r="R308" s="62"/>
      <c r="W308" s="60"/>
    </row>
    <row r="309" spans="1:23" s="214" customFormat="1" x14ac:dyDescent="0.25">
      <c r="A309" s="266"/>
      <c r="B309" s="266"/>
      <c r="C309" s="54"/>
      <c r="D309" s="267"/>
      <c r="E309" s="268"/>
      <c r="F309" s="55"/>
      <c r="G309" s="269"/>
      <c r="H309" s="269"/>
      <c r="I309" s="55"/>
      <c r="J309" s="269"/>
      <c r="K309" s="270"/>
      <c r="L309" s="269"/>
      <c r="M309" s="62"/>
      <c r="N309" s="62"/>
      <c r="O309" s="62"/>
      <c r="P309" s="62"/>
      <c r="Q309" s="62"/>
      <c r="R309" s="62"/>
      <c r="W309" s="60"/>
    </row>
  </sheetData>
  <sheetProtection formatCells="0" formatColumns="0" formatRows="0"/>
  <mergeCells count="127">
    <mergeCell ref="M18:T18"/>
    <mergeCell ref="M19:T19"/>
    <mergeCell ref="M20:T20"/>
    <mergeCell ref="M21:T21"/>
    <mergeCell ref="M23:T23"/>
    <mergeCell ref="U1:U2"/>
    <mergeCell ref="W1:W2"/>
    <mergeCell ref="M12:T12"/>
    <mergeCell ref="M13:T13"/>
    <mergeCell ref="M14:T14"/>
    <mergeCell ref="M1:T1"/>
    <mergeCell ref="M3:T3"/>
    <mergeCell ref="M7:T7"/>
    <mergeCell ref="M15:T15"/>
    <mergeCell ref="M16:T16"/>
    <mergeCell ref="M17:T17"/>
    <mergeCell ref="M22:T22"/>
    <mergeCell ref="M5:T5"/>
    <mergeCell ref="M34:T34"/>
    <mergeCell ref="M35:T35"/>
    <mergeCell ref="M36:T36"/>
    <mergeCell ref="M38:T38"/>
    <mergeCell ref="M40:T40"/>
    <mergeCell ref="M24:T24"/>
    <mergeCell ref="M29:T29"/>
    <mergeCell ref="M30:T30"/>
    <mergeCell ref="M31:T31"/>
    <mergeCell ref="M32:T32"/>
    <mergeCell ref="M33:T33"/>
    <mergeCell ref="M37:T37"/>
    <mergeCell ref="M39:T39"/>
    <mergeCell ref="M50:T50"/>
    <mergeCell ref="M51:T51"/>
    <mergeCell ref="M53:T53"/>
    <mergeCell ref="M58:T58"/>
    <mergeCell ref="M45:T45"/>
    <mergeCell ref="M46:T46"/>
    <mergeCell ref="M47:T47"/>
    <mergeCell ref="M48:T48"/>
    <mergeCell ref="M49:T49"/>
    <mergeCell ref="M52:T52"/>
    <mergeCell ref="M64:T64"/>
    <mergeCell ref="M65:T65"/>
    <mergeCell ref="M66:T66"/>
    <mergeCell ref="M67:T67"/>
    <mergeCell ref="M68:T68"/>
    <mergeCell ref="M59:T59"/>
    <mergeCell ref="M60:T60"/>
    <mergeCell ref="M61:T61"/>
    <mergeCell ref="M62:T62"/>
    <mergeCell ref="M63:T63"/>
    <mergeCell ref="M74:T74"/>
    <mergeCell ref="M75:T75"/>
    <mergeCell ref="M76:T76"/>
    <mergeCell ref="M77:T77"/>
    <mergeCell ref="M78:T78"/>
    <mergeCell ref="M69:T69"/>
    <mergeCell ref="M70:T70"/>
    <mergeCell ref="M71:T71"/>
    <mergeCell ref="M72:T72"/>
    <mergeCell ref="M73:T73"/>
    <mergeCell ref="M84:T84"/>
    <mergeCell ref="M85:T85"/>
    <mergeCell ref="M86:T86"/>
    <mergeCell ref="M87:T87"/>
    <mergeCell ref="M88:T88"/>
    <mergeCell ref="M79:T79"/>
    <mergeCell ref="M80:T80"/>
    <mergeCell ref="M81:T81"/>
    <mergeCell ref="M82:T82"/>
    <mergeCell ref="M83:T83"/>
    <mergeCell ref="M100:T100"/>
    <mergeCell ref="M101:T101"/>
    <mergeCell ref="M102:T102"/>
    <mergeCell ref="M108:T108"/>
    <mergeCell ref="M109:T109"/>
    <mergeCell ref="M89:T89"/>
    <mergeCell ref="M96:T96"/>
    <mergeCell ref="M97:T97"/>
    <mergeCell ref="M98:T98"/>
    <mergeCell ref="M99:T99"/>
    <mergeCell ref="M91:T91"/>
    <mergeCell ref="M103:T103"/>
    <mergeCell ref="M116:T116"/>
    <mergeCell ref="M123:T123"/>
    <mergeCell ref="M124:T124"/>
    <mergeCell ref="M125:T125"/>
    <mergeCell ref="M126:T126"/>
    <mergeCell ref="M110:T110"/>
    <mergeCell ref="M111:T111"/>
    <mergeCell ref="M112:T112"/>
    <mergeCell ref="M113:T113"/>
    <mergeCell ref="M114:T114"/>
    <mergeCell ref="M118:T118"/>
    <mergeCell ref="M115:T115"/>
    <mergeCell ref="M132:T132"/>
    <mergeCell ref="M133:T133"/>
    <mergeCell ref="M134:T134"/>
    <mergeCell ref="M135:T135"/>
    <mergeCell ref="M136:T136"/>
    <mergeCell ref="M127:T127"/>
    <mergeCell ref="M128:T128"/>
    <mergeCell ref="M129:T129"/>
    <mergeCell ref="M130:T130"/>
    <mergeCell ref="M131:T131"/>
    <mergeCell ref="M142:T142"/>
    <mergeCell ref="M143:T143"/>
    <mergeCell ref="M144:T144"/>
    <mergeCell ref="M145:T145"/>
    <mergeCell ref="M146:T146"/>
    <mergeCell ref="M137:T137"/>
    <mergeCell ref="M138:T138"/>
    <mergeCell ref="M139:T139"/>
    <mergeCell ref="M140:T140"/>
    <mergeCell ref="M141:T141"/>
    <mergeCell ref="M161:T161"/>
    <mergeCell ref="M162:T162"/>
    <mergeCell ref="M156:T156"/>
    <mergeCell ref="M157:T157"/>
    <mergeCell ref="M158:T158"/>
    <mergeCell ref="M159:T159"/>
    <mergeCell ref="M160:T160"/>
    <mergeCell ref="M151:T151"/>
    <mergeCell ref="M152:T152"/>
    <mergeCell ref="M153:T153"/>
    <mergeCell ref="M154:T154"/>
    <mergeCell ref="M155:T155"/>
  </mergeCells>
  <phoneticPr fontId="63" type="noConversion"/>
  <conditionalFormatting sqref="E3">
    <cfRule type="dataBar" priority="306">
      <dataBar>
        <cfvo type="num" val="0.1"/>
        <cfvo type="num" val="1"/>
        <color theme="9" tint="0.39997558519241921"/>
      </dataBar>
      <extLst>
        <ext xmlns:x14="http://schemas.microsoft.com/office/spreadsheetml/2009/9/main" uri="{B025F937-C7B1-47D3-B67F-A62EFF666E3E}">
          <x14:id>{9C1EEC12-683A-4C62-928F-694681B65354}</x14:id>
        </ext>
      </extLst>
    </cfRule>
  </conditionalFormatting>
  <conditionalFormatting sqref="E8">
    <cfRule type="dataBar" priority="309">
      <dataBar>
        <cfvo type="num" val="0.1"/>
        <cfvo type="num" val="1"/>
        <color theme="9" tint="0.39997558519241921"/>
      </dataBar>
      <extLst>
        <ext xmlns:x14="http://schemas.microsoft.com/office/spreadsheetml/2009/9/main" uri="{B025F937-C7B1-47D3-B67F-A62EFF666E3E}">
          <x14:id>{5986C5AA-20A4-4418-8422-7549A79387FB}</x14:id>
        </ext>
      </extLst>
    </cfRule>
  </conditionalFormatting>
  <conditionalFormatting sqref="E11">
    <cfRule type="expression" dxfId="752" priority="251">
      <formula>AND(B11&lt;&gt;1,ISNUMBER(C11),OR(ISNUMBER(D11),D11="PG"))</formula>
    </cfRule>
  </conditionalFormatting>
  <conditionalFormatting sqref="E12:E24">
    <cfRule type="expression" dxfId="751" priority="250">
      <formula>AND(B12&lt;&gt;1,ISNUMBER(C12),ISNUMBER(D12))</formula>
    </cfRule>
  </conditionalFormatting>
  <conditionalFormatting sqref="E28">
    <cfRule type="expression" dxfId="750" priority="248">
      <formula>AND(B28&lt;&gt;1,ISNUMBER(C28),OR(ISNUMBER(D28),D28="PG"))</formula>
    </cfRule>
  </conditionalFormatting>
  <conditionalFormatting sqref="E29:E40">
    <cfRule type="expression" dxfId="749" priority="247">
      <formula>AND(B29&lt;&gt;1,ISNUMBER(C29),ISNUMBER(D29))</formula>
    </cfRule>
  </conditionalFormatting>
  <conditionalFormatting sqref="E44">
    <cfRule type="expression" dxfId="748" priority="246">
      <formula>AND(B44&lt;&gt;1,ISNUMBER(C44),OR(ISNUMBER(D44),D44="PG"))</formula>
    </cfRule>
  </conditionalFormatting>
  <conditionalFormatting sqref="E45:E53">
    <cfRule type="expression" dxfId="747" priority="245">
      <formula>AND(B45&lt;&gt;1,ISNUMBER(C45),ISNUMBER(D45))</formula>
    </cfRule>
  </conditionalFormatting>
  <conditionalFormatting sqref="E57">
    <cfRule type="expression" dxfId="746" priority="243">
      <formula>AND(B57&lt;&gt;1,ISNUMBER(C57),OR(ISNUMBER(D57),D57="PG"))</formula>
    </cfRule>
  </conditionalFormatting>
  <conditionalFormatting sqref="E58:E89">
    <cfRule type="expression" dxfId="745" priority="242">
      <formula>AND(B58&lt;&gt;1,ISNUMBER(C58),ISNUMBER(D58))</formula>
    </cfRule>
  </conditionalFormatting>
  <conditionalFormatting sqref="E92">
    <cfRule type="dataBar" priority="308">
      <dataBar>
        <cfvo type="num" val="0.1"/>
        <cfvo type="num" val="1"/>
        <color theme="9" tint="0.39997558519241921"/>
      </dataBar>
      <extLst>
        <ext xmlns:x14="http://schemas.microsoft.com/office/spreadsheetml/2009/9/main" uri="{B025F937-C7B1-47D3-B67F-A62EFF666E3E}">
          <x14:id>{EFD9F452-B2DF-48FF-AF7D-758AE7943812}</x14:id>
        </ext>
      </extLst>
    </cfRule>
  </conditionalFormatting>
  <conditionalFormatting sqref="E95">
    <cfRule type="expression" dxfId="744" priority="241">
      <formula>AND(B95&lt;&gt;1,ISNUMBER(C95),OR(ISNUMBER(D95),D95="PG"))</formula>
    </cfRule>
  </conditionalFormatting>
  <conditionalFormatting sqref="E96:E103">
    <cfRule type="expression" dxfId="743" priority="240">
      <formula>AND(B96&lt;&gt;1,ISNUMBER(C96),ISNUMBER(D96))</formula>
    </cfRule>
  </conditionalFormatting>
  <conditionalFormatting sqref="E107">
    <cfRule type="expression" dxfId="742" priority="239">
      <formula>AND(B107&lt;&gt;1,ISNUMBER(C107),OR(ISNUMBER(D107),D107="PG"))</formula>
    </cfRule>
  </conditionalFormatting>
  <conditionalFormatting sqref="E108:E116">
    <cfRule type="expression" dxfId="741" priority="238">
      <formula>AND(B108&lt;&gt;1,ISNUMBER(C108),ISNUMBER(D108))</formula>
    </cfRule>
  </conditionalFormatting>
  <conditionalFormatting sqref="E119">
    <cfRule type="dataBar" priority="307">
      <dataBar>
        <cfvo type="num" val="0.1"/>
        <cfvo type="num" val="1"/>
        <color theme="9" tint="0.39997558519241921"/>
      </dataBar>
      <extLst>
        <ext xmlns:x14="http://schemas.microsoft.com/office/spreadsheetml/2009/9/main" uri="{B025F937-C7B1-47D3-B67F-A62EFF666E3E}">
          <x14:id>{19248E84-E0D8-4B49-B5A5-DEB94E0F5E69}</x14:id>
        </ext>
      </extLst>
    </cfRule>
  </conditionalFormatting>
  <conditionalFormatting sqref="E122">
    <cfRule type="expression" dxfId="740" priority="237">
      <formula>AND(B122&lt;&gt;1,ISNUMBER(C122),OR(ISNUMBER(D122),D122="PG"))</formula>
    </cfRule>
  </conditionalFormatting>
  <conditionalFormatting sqref="E123:E146">
    <cfRule type="expression" dxfId="739" priority="236">
      <formula>AND(B123&lt;&gt;1,ISNUMBER(C123),ISNUMBER(D123))</formula>
    </cfRule>
  </conditionalFormatting>
  <conditionalFormatting sqref="E150">
    <cfRule type="expression" dxfId="738" priority="235">
      <formula>AND(B150&lt;&gt;1,ISNUMBER(C150),OR(ISNUMBER(D150),D150="PG"))</formula>
    </cfRule>
  </conditionalFormatting>
  <conditionalFormatting sqref="E151:E162">
    <cfRule type="expression" dxfId="737" priority="234">
      <formula>AND(B151&lt;&gt;1,ISNUMBER(C151),ISNUMBER(D151))</formula>
    </cfRule>
  </conditionalFormatting>
  <conditionalFormatting sqref="F11:F24">
    <cfRule type="expression" dxfId="736" priority="126">
      <formula>OR(AND($B11=1,LEN(F11)&gt;1,F11&lt;&gt;"NA"),AND($B11=0,ISNUMBER($C11)))</formula>
    </cfRule>
  </conditionalFormatting>
  <conditionalFormatting sqref="F28:F40">
    <cfRule type="expression" dxfId="735" priority="118">
      <formula>OR(AND($B28=1,LEN(F28)&gt;1,F28&lt;&gt;"NA"),AND($B28=0,ISNUMBER($C28)))</formula>
    </cfRule>
  </conditionalFormatting>
  <conditionalFormatting sqref="F44:F53">
    <cfRule type="expression" dxfId="734" priority="110">
      <formula>OR(AND($B44=1,LEN(F44)&gt;1,F44&lt;&gt;"NA"),AND($B44=0,ISNUMBER($C44)))</formula>
    </cfRule>
  </conditionalFormatting>
  <conditionalFormatting sqref="F57:F59">
    <cfRule type="expression" dxfId="733" priority="102">
      <formula>OR(AND($B57=1,LEN(F57)&gt;1,F57&lt;&gt;"NA"),AND($B57=0,ISNUMBER($C57)))</formula>
    </cfRule>
  </conditionalFormatting>
  <conditionalFormatting sqref="F61:F69">
    <cfRule type="expression" dxfId="732" priority="94">
      <formula>OR(AND($B61=1,LEN(F61)&gt;1,F61&lt;&gt;"NA"),AND($B61=0,ISNUMBER($C61)))</formula>
    </cfRule>
  </conditionalFormatting>
  <conditionalFormatting sqref="F71:F78">
    <cfRule type="expression" dxfId="731" priority="86">
      <formula>OR(AND($B71=1,LEN(F71)&gt;1,F71&lt;&gt;"NA"),AND($B71=0,ISNUMBER($C71)))</formula>
    </cfRule>
  </conditionalFormatting>
  <conditionalFormatting sqref="F80:F82">
    <cfRule type="expression" dxfId="730" priority="78">
      <formula>OR(AND($B80=1,LEN(F80)&gt;1,F80&lt;&gt;"NA"),AND($B80=0,ISNUMBER($C80)))</formula>
    </cfRule>
  </conditionalFormatting>
  <conditionalFormatting sqref="F85:F89">
    <cfRule type="expression" dxfId="729" priority="70">
      <formula>OR(AND($B85=1,LEN(F85)&gt;1,F85&lt;&gt;"NA"),AND($B85=0,ISNUMBER($C85)))</formula>
    </cfRule>
  </conditionalFormatting>
  <conditionalFormatting sqref="F95:F103">
    <cfRule type="expression" dxfId="728" priority="62">
      <formula>OR(AND($B95=1,LEN(F95)&gt;1,F95&lt;&gt;"NA"),AND($B95=0,ISNUMBER($C95)))</formula>
    </cfRule>
  </conditionalFormatting>
  <conditionalFormatting sqref="F107:F116">
    <cfRule type="expression" dxfId="727" priority="54">
      <formula>OR(AND($B107=1,LEN(F107)&gt;1,F107&lt;&gt;"NA"),AND($B107=0,ISNUMBER($C107)))</formula>
    </cfRule>
  </conditionalFormatting>
  <conditionalFormatting sqref="F122:F124">
    <cfRule type="expression" dxfId="726" priority="46">
      <formula>OR(AND($B122=1,LEN(F122)&gt;1,F122&lt;&gt;"NA"),AND($B122=0,ISNUMBER($C122)))</formula>
    </cfRule>
  </conditionalFormatting>
  <conditionalFormatting sqref="F126:F134">
    <cfRule type="expression" dxfId="725" priority="38">
      <formula>OR(AND($B126=1,LEN(F126)&gt;1,F126&lt;&gt;"NA"),AND($B126=0,ISNUMBER($C126)))</formula>
    </cfRule>
  </conditionalFormatting>
  <conditionalFormatting sqref="F136:F137">
    <cfRule type="expression" dxfId="724" priority="30">
      <formula>OR(AND($B136=1,LEN(F136)&gt;1,F136&lt;&gt;"NA"),AND($B136=0,ISNUMBER($C136)))</formula>
    </cfRule>
  </conditionalFormatting>
  <conditionalFormatting sqref="F140:F142">
    <cfRule type="expression" dxfId="723" priority="22">
      <formula>OR(AND($B140=1,LEN(F140)&gt;1,F140&lt;&gt;"NA"),AND($B140=0,ISNUMBER($C140)))</formula>
    </cfRule>
  </conditionalFormatting>
  <conditionalFormatting sqref="F145:F146">
    <cfRule type="expression" dxfId="722" priority="14">
      <formula>OR(AND($B145=1,LEN(F145)&gt;1,F145&lt;&gt;"NA"),AND($B145=0,ISNUMBER($C145)))</formula>
    </cfRule>
  </conditionalFormatting>
  <conditionalFormatting sqref="F150:F162">
    <cfRule type="expression" dxfId="721" priority="6">
      <formula>OR(AND($B150=1,LEN(F150)&gt;1,F150&lt;&gt;"NA"),AND($B150=0,ISNUMBER($C150)))</formula>
    </cfRule>
  </conditionalFormatting>
  <conditionalFormatting sqref="G11:G24">
    <cfRule type="expression" dxfId="720" priority="130">
      <formula>AND(B11=1,OR(F11="S",F11="N"), NOT(ISBLANK(G11)))</formula>
    </cfRule>
    <cfRule type="expression" dxfId="719" priority="124" stopIfTrue="1">
      <formula>AND(B11=1,F11="NA", ISBLANK(G11))</formula>
    </cfRule>
    <cfRule type="expression" dxfId="718" priority="125" stopIfTrue="1">
      <formula>AND(B11=1,OR(F11="S",F11="N",ISBLANK(F11)), ISBLANK(G11))</formula>
    </cfRule>
  </conditionalFormatting>
  <conditionalFormatting sqref="G28:G40">
    <cfRule type="expression" dxfId="717" priority="117" stopIfTrue="1">
      <formula>AND(B28=1,OR(F28="S",F28="N",ISBLANK(F28)), ISBLANK(G28))</formula>
    </cfRule>
    <cfRule type="expression" dxfId="716" priority="116" stopIfTrue="1">
      <formula>AND(B28=1,F28="NA", ISBLANK(G28))</formula>
    </cfRule>
    <cfRule type="expression" dxfId="715" priority="122">
      <formula>AND(B28=1,OR(F28="S",F28="N"), NOT(ISBLANK(G28)))</formula>
    </cfRule>
  </conditionalFormatting>
  <conditionalFormatting sqref="G44:G53">
    <cfRule type="expression" dxfId="714" priority="109" stopIfTrue="1">
      <formula>AND(B44=1,OR(F44="S",F44="N",ISBLANK(F44)), ISBLANK(G44))</formula>
    </cfRule>
    <cfRule type="expression" dxfId="713" priority="108" stopIfTrue="1">
      <formula>AND(B44=1,F44="NA", ISBLANK(G44))</formula>
    </cfRule>
    <cfRule type="expression" dxfId="712" priority="114">
      <formula>AND(B44=1,OR(F44="S",F44="N"), NOT(ISBLANK(G44)))</formula>
    </cfRule>
  </conditionalFormatting>
  <conditionalFormatting sqref="G57:G59">
    <cfRule type="expression" dxfId="711" priority="101" stopIfTrue="1">
      <formula>AND(B57=1,OR(F57="S",F57="N",ISBLANK(F57)), ISBLANK(G57))</formula>
    </cfRule>
    <cfRule type="expression" dxfId="710" priority="100" stopIfTrue="1">
      <formula>AND(B57=1,F57="NA", ISBLANK(G57))</formula>
    </cfRule>
    <cfRule type="expression" dxfId="709" priority="106">
      <formula>AND(B57=1,OR(F57="S",F57="N"), NOT(ISBLANK(G57)))</formula>
    </cfRule>
  </conditionalFormatting>
  <conditionalFormatting sqref="G60 G70 G79 G83:G84 G125 G135 G138:G139 G143:G144">
    <cfRule type="expression" dxfId="708" priority="323">
      <formula>AND(B60=1,F60="S", NOT(ISBLANK(G60)))</formula>
    </cfRule>
  </conditionalFormatting>
  <conditionalFormatting sqref="G61:G69">
    <cfRule type="expression" dxfId="707" priority="98">
      <formula>AND(B61=1,OR(F61="S",F61="N"), NOT(ISBLANK(G61)))</formula>
    </cfRule>
    <cfRule type="expression" dxfId="706" priority="93" stopIfTrue="1">
      <formula>AND(B61=1,OR(F61="S",F61="N",ISBLANK(F61)), ISBLANK(G61))</formula>
    </cfRule>
    <cfRule type="expression" dxfId="705" priority="92" stopIfTrue="1">
      <formula>AND(B61=1,F61="NA", ISBLANK(G61))</formula>
    </cfRule>
  </conditionalFormatting>
  <conditionalFormatting sqref="G71:G78">
    <cfRule type="expression" dxfId="704" priority="90">
      <formula>AND(B71=1,OR(F71="S",F71="N"), NOT(ISBLANK(G71)))</formula>
    </cfRule>
    <cfRule type="expression" dxfId="703" priority="85" stopIfTrue="1">
      <formula>AND(B71=1,OR(F71="S",F71="N",ISBLANK(F71)), ISBLANK(G71))</formula>
    </cfRule>
    <cfRule type="expression" dxfId="702" priority="84" stopIfTrue="1">
      <formula>AND(B71=1,F71="NA", ISBLANK(G71))</formula>
    </cfRule>
  </conditionalFormatting>
  <conditionalFormatting sqref="G80:G82">
    <cfRule type="expression" dxfId="701" priority="77" stopIfTrue="1">
      <formula>AND(B80=1,OR(F80="S",F80="N",ISBLANK(F80)), ISBLANK(G80))</formula>
    </cfRule>
    <cfRule type="expression" dxfId="700" priority="82">
      <formula>AND(B80=1,OR(F80="S",F80="N"), NOT(ISBLANK(G80)))</formula>
    </cfRule>
    <cfRule type="expression" dxfId="699" priority="76" stopIfTrue="1">
      <formula>AND(B80=1,F80="NA", ISBLANK(G80))</formula>
    </cfRule>
  </conditionalFormatting>
  <conditionalFormatting sqref="G85:G89">
    <cfRule type="expression" dxfId="698" priority="69" stopIfTrue="1">
      <formula>AND(B85=1,OR(F85="S",F85="N",ISBLANK(F85)), ISBLANK(G85))</formula>
    </cfRule>
    <cfRule type="expression" dxfId="697" priority="74">
      <formula>AND(B85=1,OR(F85="S",F85="N"), NOT(ISBLANK(G85)))</formula>
    </cfRule>
    <cfRule type="expression" dxfId="696" priority="68" stopIfTrue="1">
      <formula>AND(B85=1,F85="NA", ISBLANK(G85))</formula>
    </cfRule>
  </conditionalFormatting>
  <conditionalFormatting sqref="G95:G103">
    <cfRule type="expression" dxfId="695" priority="60" stopIfTrue="1">
      <formula>AND(B95=1,F95="NA", ISBLANK(G95))</formula>
    </cfRule>
    <cfRule type="expression" dxfId="694" priority="61" stopIfTrue="1">
      <formula>AND(B95=1,OR(F95="S",F95="N",ISBLANK(F95)), ISBLANK(G95))</formula>
    </cfRule>
    <cfRule type="expression" dxfId="693" priority="66">
      <formula>AND(B95=1,OR(F95="S",F95="N"), NOT(ISBLANK(G95)))</formula>
    </cfRule>
  </conditionalFormatting>
  <conditionalFormatting sqref="G107:G116">
    <cfRule type="expression" dxfId="692" priority="52" stopIfTrue="1">
      <formula>AND(B107=1,F107="NA", ISBLANK(G107))</formula>
    </cfRule>
    <cfRule type="expression" dxfId="691" priority="53" stopIfTrue="1">
      <formula>AND(B107=1,OR(F107="S",F107="N",ISBLANK(F107)), ISBLANK(G107))</formula>
    </cfRule>
    <cfRule type="expression" dxfId="690" priority="58">
      <formula>AND(B107=1,OR(F107="S",F107="N"), NOT(ISBLANK(G107)))</formula>
    </cfRule>
  </conditionalFormatting>
  <conditionalFormatting sqref="G122:G124">
    <cfRule type="expression" dxfId="689" priority="44" stopIfTrue="1">
      <formula>AND(B122=1,F122="NA", ISBLANK(G122))</formula>
    </cfRule>
    <cfRule type="expression" dxfId="688" priority="45" stopIfTrue="1">
      <formula>AND(B122=1,OR(F122="S",F122="N",ISBLANK(F122)), ISBLANK(G122))</formula>
    </cfRule>
    <cfRule type="expression" dxfId="687" priority="50">
      <formula>AND(B122=1,OR(F122="S",F122="N"), NOT(ISBLANK(G122)))</formula>
    </cfRule>
  </conditionalFormatting>
  <conditionalFormatting sqref="G126:G134">
    <cfRule type="expression" dxfId="686" priority="42">
      <formula>AND(B126=1,OR(F126="S",F126="N"), NOT(ISBLANK(G126)))</formula>
    </cfRule>
    <cfRule type="expression" dxfId="685" priority="37" stopIfTrue="1">
      <formula>AND(B126=1,OR(F126="S",F126="N",ISBLANK(F126)), ISBLANK(G126))</formula>
    </cfRule>
    <cfRule type="expression" dxfId="684" priority="36" stopIfTrue="1">
      <formula>AND(B126=1,F126="NA", ISBLANK(G126))</formula>
    </cfRule>
  </conditionalFormatting>
  <conditionalFormatting sqref="G136:G137">
    <cfRule type="expression" dxfId="683" priority="29" stopIfTrue="1">
      <formula>AND(B136=1,OR(F136="S",F136="N",ISBLANK(F136)), ISBLANK(G136))</formula>
    </cfRule>
    <cfRule type="expression" dxfId="682" priority="28" stopIfTrue="1">
      <formula>AND(B136=1,F136="NA", ISBLANK(G136))</formula>
    </cfRule>
    <cfRule type="expression" dxfId="681" priority="34">
      <formula>AND(B136=1,OR(F136="S",F136="N"), NOT(ISBLANK(G136)))</formula>
    </cfRule>
  </conditionalFormatting>
  <conditionalFormatting sqref="G140:G142">
    <cfRule type="expression" dxfId="680" priority="21" stopIfTrue="1">
      <formula>AND(B140=1,OR(F140="S",F140="N",ISBLANK(F140)), ISBLANK(G140))</formula>
    </cfRule>
    <cfRule type="expression" dxfId="679" priority="26">
      <formula>AND(B140=1,OR(F140="S",F140="N"), NOT(ISBLANK(G140)))</formula>
    </cfRule>
    <cfRule type="expression" dxfId="678" priority="20" stopIfTrue="1">
      <formula>AND(B140=1,F140="NA", ISBLANK(G140))</formula>
    </cfRule>
  </conditionalFormatting>
  <conditionalFormatting sqref="G145:G146">
    <cfRule type="expression" dxfId="677" priority="13" stopIfTrue="1">
      <formula>AND(B145=1,OR(F145="S",F145="N",ISBLANK(F145)), ISBLANK(G145))</formula>
    </cfRule>
    <cfRule type="expression" dxfId="676" priority="18">
      <formula>AND(B145=1,OR(F145="S",F145="N"), NOT(ISBLANK(G145)))</formula>
    </cfRule>
    <cfRule type="expression" dxfId="675" priority="12" stopIfTrue="1">
      <formula>AND(B145=1,F145="NA", ISBLANK(G145))</formula>
    </cfRule>
  </conditionalFormatting>
  <conditionalFormatting sqref="G150:G162">
    <cfRule type="expression" dxfId="674" priority="4" stopIfTrue="1">
      <formula>AND(B150=1,F150="NA", ISBLANK(G150))</formula>
    </cfRule>
    <cfRule type="expression" dxfId="673" priority="5" stopIfTrue="1">
      <formula>AND(B150=1,OR(F150="S",F150="N",ISBLANK(F150)), ISBLANK(G150))</formula>
    </cfRule>
    <cfRule type="expression" dxfId="672" priority="10">
      <formula>AND(B150=1,OR(F150="S",F150="N"), NOT(ISBLANK(G150)))</formula>
    </cfRule>
  </conditionalFormatting>
  <conditionalFormatting sqref="K11:K24">
    <cfRule type="expression" dxfId="671" priority="123" stopIfTrue="1">
      <formula>AND($B11=1,OR($F11="N",$F11="NA"))</formula>
    </cfRule>
    <cfRule type="expression" dxfId="669" priority="127" stopIfTrue="1">
      <formula>AND($B11=1,OR($F11="S",$F11="P"),ISBLANK($K11))</formula>
    </cfRule>
  </conditionalFormatting>
  <conditionalFormatting sqref="K28:K40">
    <cfRule type="expression" dxfId="668" priority="115" stopIfTrue="1">
      <formula>AND($B28=1,OR($F28="N",$F28="NA"))</formula>
    </cfRule>
    <cfRule type="expression" dxfId="667" priority="119" stopIfTrue="1">
      <formula>AND($B28=1,OR($F28="S",$F28="P"),ISBLANK($K28))</formula>
    </cfRule>
  </conditionalFormatting>
  <conditionalFormatting sqref="K44:K53">
    <cfRule type="expression" dxfId="664" priority="111" stopIfTrue="1">
      <formula>AND($B44=1,OR($F44="S",$F44="P"),ISBLANK($K44))</formula>
    </cfRule>
    <cfRule type="expression" dxfId="663" priority="107" stopIfTrue="1">
      <formula>AND($B44=1,OR($F44="N",$F44="NA"))</formula>
    </cfRule>
  </conditionalFormatting>
  <conditionalFormatting sqref="K57:K59">
    <cfRule type="expression" dxfId="662" priority="99" stopIfTrue="1">
      <formula>AND($B57=1,OR($F57="N",$F57="NA"))</formula>
    </cfRule>
    <cfRule type="expression" dxfId="660" priority="103" stopIfTrue="1">
      <formula>AND($B57=1,OR($F57="S",$F57="P"),ISBLANK($K57))</formula>
    </cfRule>
  </conditionalFormatting>
  <conditionalFormatting sqref="K61:K69">
    <cfRule type="expression" dxfId="659" priority="91" stopIfTrue="1">
      <formula>AND($B61=1,OR($F61="N",$F61="NA"))</formula>
    </cfRule>
    <cfRule type="expression" dxfId="657" priority="95" stopIfTrue="1">
      <formula>AND($B61=1,OR($F61="S",$F61="P"),ISBLANK($K61))</formula>
    </cfRule>
  </conditionalFormatting>
  <conditionalFormatting sqref="K71:K78">
    <cfRule type="expression" dxfId="656" priority="83" stopIfTrue="1">
      <formula>AND($B71=1,OR($F71="N",$F71="NA"))</formula>
    </cfRule>
    <cfRule type="expression" dxfId="654" priority="87" stopIfTrue="1">
      <formula>AND($B71=1,OR($F71="S",$F71="P"),ISBLANK($K71))</formula>
    </cfRule>
  </conditionalFormatting>
  <conditionalFormatting sqref="K80:K82">
    <cfRule type="expression" dxfId="652" priority="75" stopIfTrue="1">
      <formula>AND($B80=1,OR($F80="N",$F80="NA"))</formula>
    </cfRule>
    <cfRule type="expression" dxfId="651" priority="79" stopIfTrue="1">
      <formula>AND($B80=1,OR($F80="S",$F80="P"),ISBLANK($K80))</formula>
    </cfRule>
  </conditionalFormatting>
  <conditionalFormatting sqref="K85:K89">
    <cfRule type="expression" dxfId="648" priority="67" stopIfTrue="1">
      <formula>AND($B85=1,OR($F85="N",$F85="NA"))</formula>
    </cfRule>
    <cfRule type="expression" dxfId="647" priority="71" stopIfTrue="1">
      <formula>AND($B85=1,OR($F85="S",$F85="P"),ISBLANK($K85))</formula>
    </cfRule>
  </conditionalFormatting>
  <conditionalFormatting sqref="K95:K103">
    <cfRule type="expression" dxfId="645" priority="59" stopIfTrue="1">
      <formula>AND($B95=1,OR($F95="N",$F95="NA"))</formula>
    </cfRule>
    <cfRule type="expression" dxfId="644" priority="63" stopIfTrue="1">
      <formula>AND($B95=1,OR($F95="S",$F95="P"),ISBLANK($K95))</formula>
    </cfRule>
  </conditionalFormatting>
  <conditionalFormatting sqref="K107:K116">
    <cfRule type="expression" dxfId="643" priority="55" stopIfTrue="1">
      <formula>AND($B107=1,OR($F107="S",$F107="P"),ISBLANK($K107))</formula>
    </cfRule>
    <cfRule type="expression" dxfId="641" priority="51" stopIfTrue="1">
      <formula>AND($B107=1,OR($F107="N",$F107="NA"))</formula>
    </cfRule>
  </conditionalFormatting>
  <conditionalFormatting sqref="K122:K124">
    <cfRule type="expression" dxfId="639" priority="47" stopIfTrue="1">
      <formula>AND($B122=1,OR($F122="S",$F122="P"),ISBLANK($K122))</formula>
    </cfRule>
    <cfRule type="expression" dxfId="638" priority="43" stopIfTrue="1">
      <formula>AND($B122=1,OR($F122="N",$F122="NA"))</formula>
    </cfRule>
  </conditionalFormatting>
  <conditionalFormatting sqref="K126:K134">
    <cfRule type="expression" dxfId="636" priority="35" stopIfTrue="1">
      <formula>AND($B126=1,OR($F126="N",$F126="NA"))</formula>
    </cfRule>
    <cfRule type="expression" dxfId="635" priority="39" stopIfTrue="1">
      <formula>AND($B126=1,OR($F126="S",$F126="P"),ISBLANK($K126))</formula>
    </cfRule>
  </conditionalFormatting>
  <conditionalFormatting sqref="K136:K137">
    <cfRule type="expression" dxfId="633" priority="31" stopIfTrue="1">
      <formula>AND($B136=1,OR($F136="S",$F136="P"),ISBLANK($K136))</formula>
    </cfRule>
    <cfRule type="expression" dxfId="632" priority="27" stopIfTrue="1">
      <formula>AND($B136=1,OR($F136="N",$F136="NA"))</formula>
    </cfRule>
  </conditionalFormatting>
  <conditionalFormatting sqref="K140:K142">
    <cfRule type="expression" dxfId="630" priority="23" stopIfTrue="1">
      <formula>AND($B140=1,OR($F140="S",$F140="P"),ISBLANK($K140))</formula>
    </cfRule>
    <cfRule type="expression" dxfId="629" priority="19" stopIfTrue="1">
      <formula>AND($B140=1,OR($F140="N",$F140="NA"))</formula>
    </cfRule>
  </conditionalFormatting>
  <conditionalFormatting sqref="K145:K146">
    <cfRule type="expression" dxfId="627" priority="15" stopIfTrue="1">
      <formula>AND($B145=1,OR($F145="S",$F145="P"),ISBLANK($K145))</formula>
    </cfRule>
    <cfRule type="expression" dxfId="626" priority="11" stopIfTrue="1">
      <formula>AND($B145=1,OR($F145="N",$F145="NA"))</formula>
    </cfRule>
  </conditionalFormatting>
  <conditionalFormatting sqref="K150:K162">
    <cfRule type="expression" dxfId="624" priority="7" stopIfTrue="1">
      <formula>AND($B150=1,OR($F150="S",$F150="P"),ISBLANK($K150))</formula>
    </cfRule>
    <cfRule type="expression" dxfId="623" priority="3" stopIfTrue="1">
      <formula>AND($B150=1,OR($F150="N",$F150="NA"))</formula>
    </cfRule>
  </conditionalFormatting>
  <conditionalFormatting sqref="V5">
    <cfRule type="expression" dxfId="622" priority="1">
      <formula>AND((L5=1),ISBLANK($V5))</formula>
    </cfRule>
  </conditionalFormatting>
  <conditionalFormatting sqref="V11:V24">
    <cfRule type="expression" dxfId="621" priority="128">
      <formula>AND((L11=1),ISBLANK($V11))</formula>
    </cfRule>
  </conditionalFormatting>
  <conditionalFormatting sqref="V28:V40">
    <cfRule type="expression" dxfId="620" priority="120">
      <formula>AND((L28=1),ISBLANK($V28))</formula>
    </cfRule>
  </conditionalFormatting>
  <conditionalFormatting sqref="V44:V53">
    <cfRule type="expression" dxfId="619" priority="112">
      <formula>AND((L44=1),ISBLANK($V44))</formula>
    </cfRule>
  </conditionalFormatting>
  <conditionalFormatting sqref="V57:V59">
    <cfRule type="expression" dxfId="618" priority="104">
      <formula>AND((L57=1),ISBLANK($V57))</formula>
    </cfRule>
  </conditionalFormatting>
  <conditionalFormatting sqref="V61:V69">
    <cfRule type="expression" dxfId="617" priority="96">
      <formula>AND((L61=1),ISBLANK($V61))</formula>
    </cfRule>
  </conditionalFormatting>
  <conditionalFormatting sqref="V71:V78">
    <cfRule type="expression" dxfId="616" priority="88">
      <formula>AND((L71=1),ISBLANK($V71))</formula>
    </cfRule>
  </conditionalFormatting>
  <conditionalFormatting sqref="V80:V82">
    <cfRule type="expression" dxfId="615" priority="80">
      <formula>AND((L80=1),ISBLANK($V80))</formula>
    </cfRule>
  </conditionalFormatting>
  <conditionalFormatting sqref="V85:V89">
    <cfRule type="expression" dxfId="614" priority="72">
      <formula>AND((L85=1),ISBLANK($V85))</formula>
    </cfRule>
  </conditionalFormatting>
  <conditionalFormatting sqref="V95:V103">
    <cfRule type="expression" dxfId="613" priority="64">
      <formula>AND((L95=1),ISBLANK($V95))</formula>
    </cfRule>
  </conditionalFormatting>
  <conditionalFormatting sqref="V107:V116">
    <cfRule type="expression" dxfId="612" priority="56">
      <formula>AND((L107=1),ISBLANK($V107))</formula>
    </cfRule>
  </conditionalFormatting>
  <conditionalFormatting sqref="V122:V124">
    <cfRule type="expression" dxfId="611" priority="48">
      <formula>AND((L122=1),ISBLANK($V122))</formula>
    </cfRule>
  </conditionalFormatting>
  <conditionalFormatting sqref="V126:V134">
    <cfRule type="expression" dxfId="610" priority="40">
      <formula>AND((L126=1),ISBLANK($V126))</formula>
    </cfRule>
  </conditionalFormatting>
  <conditionalFormatting sqref="V136:V137">
    <cfRule type="expression" dxfId="609" priority="32">
      <formula>AND((L136=1),ISBLANK($V136))</formula>
    </cfRule>
  </conditionalFormatting>
  <conditionalFormatting sqref="V140:V142">
    <cfRule type="expression" dxfId="608" priority="24">
      <formula>AND((L140=1),ISBLANK($V140))</formula>
    </cfRule>
  </conditionalFormatting>
  <conditionalFormatting sqref="V145:V146">
    <cfRule type="expression" dxfId="607" priority="16">
      <formula>AND((L145=1),ISBLANK($V145))</formula>
    </cfRule>
  </conditionalFormatting>
  <conditionalFormatting sqref="V150:V162">
    <cfRule type="expression" dxfId="606" priority="8">
      <formula>AND((L150=1),ISBLANK($V150))</formula>
    </cfRule>
  </conditionalFormatting>
  <dataValidations count="5">
    <dataValidation type="list" allowBlank="1" showInputMessage="1" showErrorMessage="1" error="Opção inválida!" sqref="U44 U11 U95 M95:O95 U57 M57:O57 U28 Q95:S95 Q57:S57 U122 U107 M11:O11 M28:O28 M44:O44 M107:O107 M122:O122 Q122:S122 Q107:S107 Q11:S11 Q28:S28 Q44:S44 U150 M150:O150 Q150:S150" xr:uid="{220A7D07-196C-49D2-970D-C9E32829381B}">
      <formula1>"0,1,2,3,4"</formula1>
    </dataValidation>
    <dataValidation type="list" allowBlank="1" showDropDown="1" showInputMessage="1" showErrorMessage="1" error="opção inválida!" sqref="I11:I24 I28:I40 I122:I146 I107:I116 I44:I53 I57:I89 I95:I103 I150:I162" xr:uid="{DA90486E-3C1B-4E69-B022-AAEB272D884C}">
      <formula1>"s,n,p,S,N,P"</formula1>
    </dataValidation>
    <dataValidation type="list" allowBlank="1" showDropDown="1" showInputMessage="1" showErrorMessage="1" error="opção inválida!" sqref="F11:F24 F28:F40 F107:F116 F122:F146 F44:F53 F57:F89 F95:F103 F150:F162" xr:uid="{45CE6E90-682F-47DC-AEE4-5A08658D602E}">
      <formula1>"s,n,S,N,p,P,na,NA,Na"</formula1>
    </dataValidation>
    <dataValidation type="list" allowBlank="1" showDropDown="1" showInputMessage="1" showErrorMessage="1" error="Opção inválida!" prompt="Aplica I.A.?   _x000a_1:SIm   _x000a_0 :Não" sqref="P122 P107 P11 P28 P44 P57 P95 P150" xr:uid="{AABE004F-BB9F-49EE-BDD7-DEB59C7D71F2}">
      <formula1>"0,1"</formula1>
    </dataValidation>
    <dataValidation type="list" allowBlank="1" showDropDown="1" showInputMessage="1" showErrorMessage="1" error="Opção inválida!" prompt="Há inovação?_x000a_1:Sim_x000a_0:Não" sqref="T122 T107 T11 T28 T44 T57 T95 T150" xr:uid="{6D7EF8A3-B641-4CE3-BE0C-F4BF0DF4EEF6}">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9C1EEC12-683A-4C62-928F-694681B65354}">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5986C5AA-20A4-4418-8422-7549A79387FB}">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EFD9F452-B2DF-48FF-AF7D-758AE7943812}">
            <x14:dataBar minLength="0" maxLength="100" gradient="0">
              <x14:cfvo type="num">
                <xm:f>0.1</xm:f>
              </x14:cfvo>
              <x14:cfvo type="num">
                <xm:f>1</xm:f>
              </x14:cfvo>
              <x14:negativeFillColor rgb="FFFF0000"/>
              <x14:axisColor rgb="FF000000"/>
            </x14:dataBar>
          </x14:cfRule>
          <xm:sqref>E92</xm:sqref>
        </x14:conditionalFormatting>
        <x14:conditionalFormatting xmlns:xm="http://schemas.microsoft.com/office/excel/2006/main">
          <x14:cfRule type="dataBar" id="{19248E84-E0D8-4B49-B5A5-DEB94E0F5E69}">
            <x14:dataBar minLength="0" maxLength="100" gradient="0">
              <x14:cfvo type="num">
                <xm:f>0.1</xm:f>
              </x14:cfvo>
              <x14:cfvo type="num">
                <xm:f>1</xm:f>
              </x14:cfvo>
              <x14:negativeFillColor rgb="FFFF0000"/>
              <x14:axisColor rgb="FF000000"/>
            </x14:dataBar>
          </x14:cfRule>
          <xm:sqref>E119</xm:sqref>
        </x14:conditionalFormatting>
        <x14:conditionalFormatting xmlns:xm="http://schemas.microsoft.com/office/excel/2006/main">
          <x14:cfRule type="expression" priority="129" id="{B0CD182C-FC98-42B6-84D4-D103DD2D0CCE}">
            <xm:f>AND(B11=1,$J11&gt;Capa!$H$23)</xm:f>
            <x14:dxf>
              <fill>
                <patternFill>
                  <bgColor rgb="FFFFCCCC"/>
                </patternFill>
              </fill>
            </x14:dxf>
          </x14:cfRule>
          <xm:sqref>K11:K24</xm:sqref>
        </x14:conditionalFormatting>
        <x14:conditionalFormatting xmlns:xm="http://schemas.microsoft.com/office/excel/2006/main">
          <x14:cfRule type="expression" priority="121" id="{537D6A30-A5C5-45B3-8F61-FD1BF339AD53}">
            <xm:f>AND(B28=1,$J28&gt;Capa!$H$23)</xm:f>
            <x14:dxf>
              <fill>
                <patternFill>
                  <bgColor rgb="FFFFCCCC"/>
                </patternFill>
              </fill>
            </x14:dxf>
          </x14:cfRule>
          <xm:sqref>K28:K40</xm:sqref>
        </x14:conditionalFormatting>
        <x14:conditionalFormatting xmlns:xm="http://schemas.microsoft.com/office/excel/2006/main">
          <x14:cfRule type="expression" priority="113" id="{AD19D236-7332-4BC5-A6E0-A6B80EF8BC92}">
            <xm:f>AND(B44=1,$J44&gt;Capa!$H$23)</xm:f>
            <x14:dxf>
              <fill>
                <patternFill>
                  <bgColor rgb="FFFFCCCC"/>
                </patternFill>
              </fill>
            </x14:dxf>
          </x14:cfRule>
          <xm:sqref>K44:K53</xm:sqref>
        </x14:conditionalFormatting>
        <x14:conditionalFormatting xmlns:xm="http://schemas.microsoft.com/office/excel/2006/main">
          <x14:cfRule type="expression" priority="105" id="{7695BF88-A590-41D7-B032-37289628A3D6}">
            <xm:f>AND(B57=1,$J57&gt;Capa!$H$23)</xm:f>
            <x14:dxf>
              <fill>
                <patternFill>
                  <bgColor rgb="FFFFCCCC"/>
                </patternFill>
              </fill>
            </x14:dxf>
          </x14:cfRule>
          <xm:sqref>K57:K59</xm:sqref>
        </x14:conditionalFormatting>
        <x14:conditionalFormatting xmlns:xm="http://schemas.microsoft.com/office/excel/2006/main">
          <x14:cfRule type="expression" priority="97" id="{3056749D-F5EA-4272-A2E7-9EEF4CF53221}">
            <xm:f>AND(B61=1,$J61&gt;Capa!$H$23)</xm:f>
            <x14:dxf>
              <fill>
                <patternFill>
                  <bgColor rgb="FFFFCCCC"/>
                </patternFill>
              </fill>
            </x14:dxf>
          </x14:cfRule>
          <xm:sqref>K61:K69</xm:sqref>
        </x14:conditionalFormatting>
        <x14:conditionalFormatting xmlns:xm="http://schemas.microsoft.com/office/excel/2006/main">
          <x14:cfRule type="expression" priority="89" id="{DF4C3CBC-EA67-4FFB-9582-42C0E0AF358A}">
            <xm:f>AND(B71=1,$J71&gt;Capa!$H$23)</xm:f>
            <x14:dxf>
              <fill>
                <patternFill>
                  <bgColor rgb="FFFFCCCC"/>
                </patternFill>
              </fill>
            </x14:dxf>
          </x14:cfRule>
          <xm:sqref>K71:K78</xm:sqref>
        </x14:conditionalFormatting>
        <x14:conditionalFormatting xmlns:xm="http://schemas.microsoft.com/office/excel/2006/main">
          <x14:cfRule type="expression" priority="81" id="{680804FF-6B4A-422F-B4D5-4A7D7AFA65CA}">
            <xm:f>AND(B80=1,$J80&gt;Capa!$H$23)</xm:f>
            <x14:dxf>
              <fill>
                <patternFill>
                  <bgColor rgb="FFFFCCCC"/>
                </patternFill>
              </fill>
            </x14:dxf>
          </x14:cfRule>
          <xm:sqref>K80:K82</xm:sqref>
        </x14:conditionalFormatting>
        <x14:conditionalFormatting xmlns:xm="http://schemas.microsoft.com/office/excel/2006/main">
          <x14:cfRule type="expression" priority="272" id="{83174089-5B54-4B90-85C8-AF84F321A692}">
            <xm:f>$J83&gt;Capa!$H$23</xm:f>
            <x14:dxf>
              <font>
                <color rgb="FF0000FF"/>
              </font>
              <fill>
                <patternFill>
                  <bgColor rgb="FFFFCCCC"/>
                </patternFill>
              </fill>
            </x14:dxf>
          </x14:cfRule>
          <xm:sqref>K83</xm:sqref>
        </x14:conditionalFormatting>
        <x14:conditionalFormatting xmlns:xm="http://schemas.microsoft.com/office/excel/2006/main">
          <x14:cfRule type="expression" priority="73" id="{725632CA-97CA-4268-8F13-0483D3424A67}">
            <xm:f>AND(B85=1,$J85&gt;Capa!$H$23)</xm:f>
            <x14:dxf>
              <fill>
                <patternFill>
                  <bgColor rgb="FFFFCCCC"/>
                </patternFill>
              </fill>
            </x14:dxf>
          </x14:cfRule>
          <xm:sqref>K85:K89</xm:sqref>
        </x14:conditionalFormatting>
        <x14:conditionalFormatting xmlns:xm="http://schemas.microsoft.com/office/excel/2006/main">
          <x14:cfRule type="expression" priority="65" id="{448D0CF8-BCDA-4DC6-9DD8-4FD758700461}">
            <xm:f>AND(B95=1,$J95&gt;Capa!$H$23)</xm:f>
            <x14:dxf>
              <fill>
                <patternFill>
                  <bgColor rgb="FFFFCCCC"/>
                </patternFill>
              </fill>
            </x14:dxf>
          </x14:cfRule>
          <xm:sqref>K95:K103</xm:sqref>
        </x14:conditionalFormatting>
        <x14:conditionalFormatting xmlns:xm="http://schemas.microsoft.com/office/excel/2006/main">
          <x14:cfRule type="expression" priority="57" id="{BD806B8A-3F62-4634-AA48-220FAE11123A}">
            <xm:f>AND(B107=1,$J107&gt;Capa!$H$23)</xm:f>
            <x14:dxf>
              <fill>
                <patternFill>
                  <bgColor rgb="FFFFCCCC"/>
                </patternFill>
              </fill>
            </x14:dxf>
          </x14:cfRule>
          <xm:sqref>K107:K116</xm:sqref>
        </x14:conditionalFormatting>
        <x14:conditionalFormatting xmlns:xm="http://schemas.microsoft.com/office/excel/2006/main">
          <x14:cfRule type="expression" priority="49" id="{4FA41832-32EC-418B-B943-FF52966467E6}">
            <xm:f>AND(B122=1,$J122&gt;Capa!$H$23)</xm:f>
            <x14:dxf>
              <fill>
                <patternFill>
                  <bgColor rgb="FFFFCCCC"/>
                </patternFill>
              </fill>
            </x14:dxf>
          </x14:cfRule>
          <xm:sqref>K122:K124</xm:sqref>
        </x14:conditionalFormatting>
        <x14:conditionalFormatting xmlns:xm="http://schemas.microsoft.com/office/excel/2006/main">
          <x14:cfRule type="expression" priority="41" id="{85610BED-7B5A-44C2-AEBF-763C68EF0150}">
            <xm:f>AND(B126=1,$J126&gt;Capa!$H$23)</xm:f>
            <x14:dxf>
              <fill>
                <patternFill>
                  <bgColor rgb="FFFFCCCC"/>
                </patternFill>
              </fill>
            </x14:dxf>
          </x14:cfRule>
          <xm:sqref>K126:K134</xm:sqref>
        </x14:conditionalFormatting>
        <x14:conditionalFormatting xmlns:xm="http://schemas.microsoft.com/office/excel/2006/main">
          <x14:cfRule type="expression" priority="33" id="{32DAD06C-B2C1-4211-BB21-DA394B852EB0}">
            <xm:f>AND(B136=1,$J136&gt;Capa!$H$23)</xm:f>
            <x14:dxf>
              <fill>
                <patternFill>
                  <bgColor rgb="FFFFCCCC"/>
                </patternFill>
              </fill>
            </x14:dxf>
          </x14:cfRule>
          <xm:sqref>K136:K137</xm:sqref>
        </x14:conditionalFormatting>
        <x14:conditionalFormatting xmlns:xm="http://schemas.microsoft.com/office/excel/2006/main">
          <x14:cfRule type="expression" priority="25" id="{DF3EA410-D665-4B1A-9116-ED98CC561BA1}">
            <xm:f>AND(B140=1,$J140&gt;Capa!$H$23)</xm:f>
            <x14:dxf>
              <fill>
                <patternFill>
                  <bgColor rgb="FFFFCCCC"/>
                </patternFill>
              </fill>
            </x14:dxf>
          </x14:cfRule>
          <xm:sqref>K140:K142</xm:sqref>
        </x14:conditionalFormatting>
        <x14:conditionalFormatting xmlns:xm="http://schemas.microsoft.com/office/excel/2006/main">
          <x14:cfRule type="expression" priority="17" id="{FCF09B20-CBFF-40B6-83D6-A19BE9EEA5CF}">
            <xm:f>AND(B145=1,$J145&gt;Capa!$H$23)</xm:f>
            <x14:dxf>
              <fill>
                <patternFill>
                  <bgColor rgb="FFFFCCCC"/>
                </patternFill>
              </fill>
            </x14:dxf>
          </x14:cfRule>
          <xm:sqref>K145:K146</xm:sqref>
        </x14:conditionalFormatting>
        <x14:conditionalFormatting xmlns:xm="http://schemas.microsoft.com/office/excel/2006/main">
          <x14:cfRule type="expression" priority="9" id="{B42F689E-0977-4AF2-AFCE-684686E5F14A}">
            <xm:f>AND(B150=1,$J150&gt;Capa!$H$23)</xm:f>
            <x14:dxf>
              <fill>
                <patternFill>
                  <bgColor rgb="FFFFCCCC"/>
                </patternFill>
              </fill>
            </x14:dxf>
          </x14:cfRule>
          <xm:sqref>K150:K162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AG285"/>
  <sheetViews>
    <sheetView zoomScale="115" zoomScaleNormal="115" workbookViewId="0">
      <selection activeCell="F11" sqref="F11"/>
    </sheetView>
  </sheetViews>
  <sheetFormatPr defaultColWidth="8.85546875" defaultRowHeight="26.25" x14ac:dyDescent="0.25"/>
  <cols>
    <col min="1" max="1" width="2.42578125" style="210" customWidth="1"/>
    <col min="2" max="2" width="2.140625" style="210" customWidth="1"/>
    <col min="3" max="3" width="3.42578125" style="1" customWidth="1"/>
    <col min="4" max="4" width="4.28515625" style="271" customWidth="1"/>
    <col min="5" max="5" width="48.85546875" style="272" customWidth="1"/>
    <col min="6" max="6" width="5.85546875" style="31" customWidth="1"/>
    <col min="7" max="7" width="30.85546875" style="273" customWidth="1"/>
    <col min="8" max="8" width="0.85546875" style="273" customWidth="1"/>
    <col min="9" max="9" width="5.85546875" style="31" customWidth="1"/>
    <col min="10" max="10" width="2" style="273" customWidth="1"/>
    <col min="11" max="11" width="36.5703125" style="274" customWidth="1"/>
    <col min="12" max="12" width="2.42578125" style="269" customWidth="1"/>
    <col min="13" max="18" width="4.85546875" style="62" customWidth="1"/>
    <col min="19" max="21" width="4.85546875" style="214" customWidth="1"/>
    <col min="22" max="22" width="33.5703125" style="214" customWidth="1"/>
    <col min="23" max="23" width="5.140625" style="60" customWidth="1"/>
    <col min="24" max="24" width="2.7109375" style="214" customWidth="1"/>
    <col min="25" max="25" width="28.85546875" style="214" customWidth="1"/>
    <col min="26" max="26" width="19.85546875" style="214" customWidth="1"/>
    <col min="27" max="27" width="18.85546875" style="214" customWidth="1"/>
    <col min="28" max="33" width="9.140625" style="214"/>
    <col min="34" max="16384" width="8.85546875" style="215"/>
  </cols>
  <sheetData>
    <row r="1" spans="1:28" ht="18.600000000000001" customHeight="1" x14ac:dyDescent="0.25">
      <c r="C1" s="139"/>
      <c r="D1" s="276"/>
      <c r="E1" s="277" t="str">
        <f>Capa!A1</f>
        <v xml:space="preserve">MEGplan®ESG </v>
      </c>
      <c r="F1" s="430" t="s">
        <v>22</v>
      </c>
      <c r="G1" s="432"/>
      <c r="H1" s="491"/>
      <c r="I1" s="427"/>
      <c r="J1" s="252"/>
      <c r="K1" s="434"/>
      <c r="L1" s="252"/>
      <c r="M1" s="725" t="s">
        <v>23</v>
      </c>
      <c r="N1" s="726"/>
      <c r="O1" s="726"/>
      <c r="P1" s="726"/>
      <c r="Q1" s="726"/>
      <c r="R1" s="726"/>
      <c r="S1" s="726"/>
      <c r="T1" s="727"/>
      <c r="U1" s="715" t="s">
        <v>24</v>
      </c>
      <c r="V1" s="587"/>
      <c r="W1" s="717" t="s">
        <v>25</v>
      </c>
      <c r="X1" s="602"/>
      <c r="Y1" s="600"/>
      <c r="Z1" s="600"/>
      <c r="AA1" s="600"/>
      <c r="AB1" s="600"/>
    </row>
    <row r="2" spans="1:28" ht="18" customHeight="1" thickBot="1" x14ac:dyDescent="0.3">
      <c r="C2" s="8" t="s">
        <v>26</v>
      </c>
      <c r="D2" s="8" t="s">
        <v>27</v>
      </c>
      <c r="E2" s="386" t="str">
        <f>"PGs: "&amp;SUMIFS($B$1:$B$235,$A$1:$A$235,"="&amp;A4&amp;"??",$D$1:$D$235,"=PG",B$1:B$235,"&gt;0")&amp;"  LV: "&amp;SUMIFS($B$1:$B$235,$A$1:$A$235,"="&amp;A4&amp;"??",$D$1:$D$235,"&lt;&gt;PG",B$1:B$235,"&gt;0")</f>
        <v>PGs: 8  LV: 7</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16"/>
      <c r="V2" s="589" t="s">
        <v>41</v>
      </c>
      <c r="W2" s="718"/>
      <c r="X2" s="603"/>
      <c r="Y2" s="601" t="s">
        <v>42</v>
      </c>
      <c r="Z2" s="601" t="s">
        <v>43</v>
      </c>
      <c r="AA2" s="601" t="s">
        <v>44</v>
      </c>
      <c r="AB2" s="601" t="s">
        <v>45</v>
      </c>
    </row>
    <row r="3" spans="1:28" ht="18" customHeight="1" x14ac:dyDescent="0.25">
      <c r="A3" s="210" t="s">
        <v>278</v>
      </c>
      <c r="B3" s="7" t="str">
        <f>IF(  AND(ISNUMBER(C3),OR(ISNUMBER(D3),D3="PG")),IF(IF(Capa!$B$6="B",0,Capa!$B$6)&gt;=C3,1,0),"")</f>
        <v/>
      </c>
      <c r="C3" s="85"/>
      <c r="D3" s="86"/>
      <c r="E3" s="98">
        <f>IF(SUMIFS($B$1:$B$235,$A$1:$A$235,"="&amp;A4&amp;"??",B$1:B$235,"&gt;0")&lt;=0,0,COUNTIFS($F$1:$F$235,"*",$A$1:$A$235,"="&amp;A4&amp;"??",B$1:B$235,"&gt;0")/SUMIFS($B$1:$B$235,$A$1:$A$235,"="&amp;A4&amp;"??",B$1:B$235,"&gt;0"))</f>
        <v>0</v>
      </c>
      <c r="F3" s="102"/>
      <c r="G3" s="102"/>
      <c r="H3" s="284"/>
      <c r="I3" s="104"/>
      <c r="J3" s="37"/>
      <c r="K3" s="103"/>
      <c r="L3" s="492"/>
      <c r="M3" s="722">
        <f>MIN(IF(OR(Capa!$B$6="B",Capa!$B$6=1),AVERAGE(M7,M82),(M7*'Quadro Geral'!D14+M82*'Quadro Geral'!D15)/'Quadro Geral'!D13)+U3,1)</f>
        <v>0</v>
      </c>
      <c r="N3" s="723"/>
      <c r="O3" s="723"/>
      <c r="P3" s="723"/>
      <c r="Q3" s="723"/>
      <c r="R3" s="723"/>
      <c r="S3" s="723"/>
      <c r="T3" s="724"/>
      <c r="U3" s="467">
        <f>IF(OR(AND(Capa!$B$6=2,P4&gt;0),AND(Capa!$B$6=3,P4&gt;1)),0.05,0)+IF(AND(Capa!$B$6=3,P4=1),0.02,0)+IF(OR(AND(Capa!$B$6=2,T4&gt;0),AND(Capa!$B$6=3,T4&gt;1)),0.05,0)+IF(AND(Capa!$B$6=3,T4=1),0.02,0)</f>
        <v>0</v>
      </c>
      <c r="V3" s="88"/>
      <c r="W3" s="472"/>
      <c r="X3" s="579"/>
      <c r="Y3" s="579"/>
      <c r="Z3" s="579"/>
      <c r="AA3" s="579"/>
      <c r="AB3" s="579"/>
    </row>
    <row r="4" spans="1:28" x14ac:dyDescent="0.25">
      <c r="A4" s="210" t="s">
        <v>278</v>
      </c>
      <c r="B4" s="7" t="str">
        <f>IF(  AND(ISNUMBER(C4),OR(ISNUMBER(D4),D4="PG")),IF(IF(Capa!$B$6="B",0,Capa!$B$6)&gt;=C4,1,0),"")</f>
        <v/>
      </c>
      <c r="C4" s="11" t="str">
        <f>IF(ISBLANK(D4),"",IF(ISERR(SEARCH(D4&amp;"\","&lt;B&gt;\&lt;1&gt;\&lt;2&gt;\&lt;3&gt;\")),IF(AND(NOT(ISBLANK(C2)),C2&lt;=3),C2,""),
IF(SEARCH(D4&amp;"\","&lt;B&gt;\&lt;1&gt;\&lt;2&gt;\&lt;3&gt;\")=1,0,IF(SEARCH(D4&amp;"\","&lt;B&gt;\&lt;1&gt;\&lt;2&gt;\&lt;3&gt;\")=5,1,IF(SEARCH(D4&amp;"\","&lt;B&gt;\&lt;1&gt;\&lt;2&gt;\&lt;3&gt;\")=9,2,IF(SEARCH(D4&amp;"\","&lt;B&gt;\&lt;1&gt;\&lt;2&gt;\&lt;3&gt;\")=13,3,""))))))</f>
        <v/>
      </c>
      <c r="D4" s="217"/>
      <c r="E4" s="218" t="s">
        <v>279</v>
      </c>
      <c r="F4" s="382">
        <f>IF(COUNTIFS($A$1:$A$235,"="&amp;A4&amp;"??",$B$1:$B$235,"&gt;0",$D$1:$D$235,"&gt;0")&gt;0,(COUNTIFS($A$1:$A$235,"="&amp;A4&amp;"??",$B$1:$B$235,"&gt;0",$D$1:$D$235,"&gt;0",F$1:F$235,"=S")+COUNTIFS($A$1:$A$235,"="&amp;A4&amp;"??",$B$1:$B$235,"&gt;0",$D$1:$D$235,"&gt;0",$F$1:$F$235,"=P")+COUNTIFS($A$1:$A$235,"="&amp;A4&amp;"??",$B$1:$B$235,"&gt;0",$D$1:$D$235,"&gt;0",F$1:F$235,"=N")+COUNTIFS($A$1:$A$235,"="&amp;A4&amp;"??",$B$1:$B$235,"&gt;0",$D$1:$D$235,"&gt;0",F$1:F$235,"=NA"))/COUNTIFS($A$1:$A$235,"="&amp;A4&amp;"??",$B$1:$B$235,"&gt;0",$D$1:$D$235,"&gt;0"),0)</f>
        <v>0</v>
      </c>
      <c r="G4" s="235"/>
      <c r="H4" s="220"/>
      <c r="I4" s="382">
        <f>IF(COUNTIFS($A$1:$A$235,"="&amp;A4&amp;"??",$B$1:$B$235,"&gt;0",$D$1:$D$235,"&gt;0")&gt;0,
        (COUNTIFS($A$1:$A$235,"="&amp;A4&amp;"??",$B$1:$B$235,"&gt;0",$D$1:$D$235,"&gt;0",F$1:F$235,"=S",I$1:I$235,"") +
         (COUNTIFS($A$1:$A$235,"="&amp;A4&amp;"??",$B$1:$B$235,"&gt;0",$D$1:$D$235,"&gt;0",$F$1:$F$235,"=P",I$1:I$235,"")/2) +
         COUNTIFS($A$1:$A$235,"="&amp;A4&amp;"??",$B$1:$B$235,"&gt;0",$D$1:$D$235,"&gt;0",I$1:I$235,"=S") +
         (COUNTIFS($A$1:$A$235,"="&amp;A4&amp;"??",$B$1:$B$235,"&gt;0",$D$1:$D$235,"&gt;0",I$1:I$235,"=P")/2)
         )/COUNTIFS($A$1:$A$235,"="&amp;A4&amp;"??",$B$1:$B$235,"&gt;0",$D$1:$D$235,"&gt;0"),0)</f>
        <v>0</v>
      </c>
      <c r="J4" s="235"/>
      <c r="K4" s="283"/>
      <c r="L4" s="220"/>
      <c r="M4" s="105">
        <f t="shared" ref="M4:S4" si="0">AVERAGE(M8,M83)</f>
        <v>0</v>
      </c>
      <c r="N4" s="105">
        <f t="shared" si="0"/>
        <v>0</v>
      </c>
      <c r="O4" s="105">
        <f t="shared" si="0"/>
        <v>0</v>
      </c>
      <c r="P4" s="414">
        <f>P8+P83</f>
        <v>0</v>
      </c>
      <c r="Q4" s="105">
        <f t="shared" si="0"/>
        <v>0</v>
      </c>
      <c r="R4" s="105">
        <f t="shared" si="0"/>
        <v>0</v>
      </c>
      <c r="S4" s="105">
        <f t="shared" si="0"/>
        <v>0</v>
      </c>
      <c r="T4" s="414">
        <f>T8+T83</f>
        <v>0</v>
      </c>
      <c r="U4" s="452"/>
      <c r="V4" s="221"/>
      <c r="W4" s="66"/>
      <c r="X4" s="579"/>
      <c r="Y4" s="579"/>
      <c r="Z4" s="579"/>
      <c r="AA4" s="579"/>
      <c r="AB4" s="579"/>
    </row>
    <row r="5" spans="1:28" ht="47.45" customHeight="1" x14ac:dyDescent="0.25">
      <c r="A5" s="210" t="s">
        <v>278</v>
      </c>
      <c r="B5" s="7" t="str">
        <f>IF(  AND(ISNUMBER(C5),OR(ISNUMBER(D5),D5="PG")),IF(IF(Capa!$B$6="B",0,Capa!$B$6)&gt;=C5,1,0),"")</f>
        <v/>
      </c>
      <c r="C5" s="16" t="str">
        <f>IF(ISBLANK(D5),"",IF(ISERR(SEARCH(D5&amp;"\","&lt;B&gt;\&lt;1&gt;\&lt;2&gt;\&lt;3&gt;\")),IF(AND(NOT(ISBLANK(C4)),C4&lt;=3),C4,""),
IF(SEARCH(D5&amp;"\","&lt;B&gt;\&lt;1&gt;\&lt;2&gt;\&lt;3&gt;\")=1,0,IF(SEARCH(D5&amp;"\","&lt;B&gt;\&lt;1&gt;\&lt;2&gt;\&lt;3&gt;\")=5,1,IF(SEARCH(D5&amp;"\","&lt;B&gt;\&lt;1&gt;\&lt;2&gt;\&lt;3&gt;\")=9,2,IF(SEARCH(D5&amp;"\","&lt;B&gt;\&lt;1&gt;\&lt;2&gt;\&lt;3&gt;\")=13,3,""))))))</f>
        <v/>
      </c>
      <c r="D5" s="222"/>
      <c r="E5" s="279" t="s">
        <v>280</v>
      </c>
      <c r="F5" s="290"/>
      <c r="G5" s="290"/>
      <c r="H5" s="252"/>
      <c r="I5" s="290"/>
      <c r="J5" s="235"/>
      <c r="K5" s="283"/>
      <c r="L5" s="701" t="str">
        <f>IF($F$4&gt;0.9,1,"")</f>
        <v/>
      </c>
      <c r="M5" s="728"/>
      <c r="N5" s="729"/>
      <c r="O5" s="729"/>
      <c r="P5" s="729"/>
      <c r="Q5" s="729"/>
      <c r="R5" s="729"/>
      <c r="S5" s="729"/>
      <c r="T5" s="730"/>
      <c r="U5" s="224"/>
      <c r="V5" s="464"/>
      <c r="W5" s="473"/>
      <c r="X5" s="522"/>
      <c r="Y5" s="522"/>
      <c r="Z5" s="522"/>
      <c r="AA5" s="522"/>
      <c r="AB5" s="522"/>
    </row>
    <row r="6" spans="1:28" ht="5.85" customHeight="1" x14ac:dyDescent="0.25">
      <c r="B6" s="7" t="str">
        <f>IF(  AND(ISNUMBER(C6),OR(ISNUMBER(D6),D6="PG")),IF(IF(Capa!$B$6="B",0,Capa!$B$6)&gt;=C6,1,0),"")</f>
        <v/>
      </c>
      <c r="C6" s="118" t="str">
        <f>IF(ISBLANK(D6),"",IF(ISERR(SEARCH(D6&amp;"\","&lt;B&gt;\&lt;1&gt;\&lt;2&gt;\&lt;3&gt;\")),IF(AND(NOT(ISBLANK(C5)),C5&lt;=3),C5,""),
IF(SEARCH(D6&amp;"\","&lt;B&gt;\&lt;1&gt;\&lt;2&gt;\&lt;3&gt;\")=1,0,IF(SEARCH(D6&amp;"\","&lt;B&gt;\&lt;1&gt;\&lt;2&gt;\&lt;3&gt;\")=5,1,IF(SEARCH(D6&amp;"\","&lt;B&gt;\&lt;1&gt;\&lt;2&gt;\&lt;3&gt;\")=9,2,IF(SEARCH(D6&amp;"\","&lt;B&gt;\&lt;1&gt;\&lt;2&gt;\&lt;3&gt;\")=13,3,""))))))</f>
        <v/>
      </c>
      <c r="D6" s="225"/>
      <c r="E6" s="226"/>
      <c r="F6" s="123"/>
      <c r="G6" s="227"/>
      <c r="H6" s="227"/>
      <c r="I6" s="123"/>
      <c r="J6" s="227"/>
      <c r="K6" s="228"/>
      <c r="L6" s="227"/>
      <c r="M6" s="119"/>
      <c r="N6" s="119"/>
      <c r="O6" s="119"/>
      <c r="P6" s="119"/>
      <c r="Q6" s="119"/>
      <c r="R6" s="119"/>
      <c r="S6" s="229"/>
      <c r="T6" s="229"/>
      <c r="U6" s="454"/>
      <c r="V6" s="536"/>
      <c r="W6" s="121"/>
      <c r="X6" s="522"/>
      <c r="Y6" s="522"/>
      <c r="Z6" s="522"/>
      <c r="AA6" s="522"/>
      <c r="AB6" s="522"/>
    </row>
    <row r="7" spans="1:28" x14ac:dyDescent="0.25">
      <c r="A7" s="210" t="s">
        <v>281</v>
      </c>
      <c r="B7" s="7" t="str">
        <f>IF(  AND(ISNUMBER(C7),OR(ISNUMBER(D7),D7="PG")),IF(IF(Capa!$B$6="B",0,Capa!$B$6)&gt;=C7,1,0),"")</f>
        <v/>
      </c>
      <c r="C7" s="39" t="str">
        <f>IF(ISBLANK(D7),"",IF(ISERR(SEARCH(D7&amp;"\","&lt;B&gt;\&lt;1&gt;\&lt;2&gt;\&lt;3&gt;\")),IF(AND(NOT(ISBLANK(C6)),C6&lt;=3),C6,""),
IF(SEARCH(D7&amp;"\","&lt;B&gt;\&lt;1&gt;\&lt;2&gt;\&lt;3&gt;\")=1,0,IF(SEARCH(D7&amp;"\","&lt;B&gt;\&lt;1&gt;\&lt;2&gt;\&lt;3&gt;\")=5,1,IF(SEARCH(D7&amp;"\","&lt;B&gt;\&lt;1&gt;\&lt;2&gt;\&lt;3&gt;\")=9,2,IF(SEARCH(D7&amp;"\","&lt;B&gt;\&lt;1&gt;\&lt;2&gt;\&lt;3&gt;\")=13,3,""))))))</f>
        <v/>
      </c>
      <c r="D7" s="15"/>
      <c r="E7" s="258" t="s">
        <v>282</v>
      </c>
      <c r="F7" s="381">
        <f>IF(COUNTIFS($A$1:$A$235,"="&amp;A7&amp;"?",$B$1:$B$235,"&gt;0",$D$1:$D$235,"&gt;0")&gt;0,(COUNTIFS($A$1:$A$235,"="&amp;A7&amp;"?",$B$1:$B$235,"&gt;0",$D$1:$D$235,"&gt;0",F$1:F$235,"=S")+COUNTIFS($A$1:$A$235,"="&amp;A7&amp;"?",$B$1:$B$235,"&gt;0",$D$1:$D$235,"&gt;0",$F$1:$F$235,"=P")+COUNTIFS($A$1:$A$235,"="&amp;A7&amp;"?",$B$1:$B$235,"&gt;0",$D$1:$D$235,"&gt;0",F$1:F$235,"=N")+COUNTIFS($A$1:$A$235,"="&amp;A7&amp;"?",$B$1:$B$235,"&gt;0",$D$1:$D$235,"&gt;0",F$1:F$235,"=NA"))/COUNTIFS($A$1:$A$235,"="&amp;A7&amp;"?",$B$1:$B$235,"&gt;0",$D$1:$D$235,"&gt;0"),0)</f>
        <v>0</v>
      </c>
      <c r="G7" s="232"/>
      <c r="H7" s="232"/>
      <c r="I7" s="381">
        <f>IF(COUNTIFS($A$1:$A$235,"="&amp;A7&amp;"?",$B$1:$B$235,"&gt;0",$D$1:$D$235,"&gt;0")&gt;0,
        (COUNTIFS($A$1:$A$235,"="&amp;A7&amp;"?",$B$1:$B$235,"&gt;0",$D$1:$D$235,"&gt;0",F$1:F$235,"=S",I$1:I$235,"") +
         (COUNTIFS($A$1:$A$235,"="&amp;A7&amp;"?",$B$1:$B$235,"&gt;0",$D$1:$D$235,"&gt;0",$F$1:$F$235,"=P",I$1:I$235,"")/2) +
         COUNTIFS($A$1:$A$235,"="&amp;A7&amp;"?",$B$1:$B$235,"&gt;0",$D$1:$D$235,"&gt;0",I$1:I$235,"=S") +
         (COUNTIFS($A$1:$A$235,"="&amp;A7&amp;"?",$B$1:$B$235,"&gt;0",$D$1:$D$235,"&gt;0",I$1:I$235,"=P")/2)
         )/COUNTIFS($A$1:$A$235,"="&amp;A7&amp;"?",$B$1:$B$235,"&gt;0",$D$1:$D$235,"&gt;0"),0)</f>
        <v>0</v>
      </c>
      <c r="J7" s="219"/>
      <c r="K7" s="259"/>
      <c r="L7" s="219"/>
      <c r="M7" s="722">
        <f>(M8*20+N8*10+O8*10+Q8*30+R8*15+S8*15)/100</f>
        <v>0</v>
      </c>
      <c r="N7" s="723"/>
      <c r="O7" s="723"/>
      <c r="P7" s="723"/>
      <c r="Q7" s="723"/>
      <c r="R7" s="723"/>
      <c r="S7" s="723"/>
      <c r="T7" s="724"/>
      <c r="U7" s="450"/>
      <c r="V7" s="537"/>
      <c r="W7" s="66"/>
      <c r="X7" s="579"/>
      <c r="Y7" s="579"/>
      <c r="Z7" s="579"/>
      <c r="AA7" s="579"/>
      <c r="AB7" s="579"/>
    </row>
    <row r="8" spans="1:28" ht="15" customHeight="1" x14ac:dyDescent="0.25">
      <c r="A8" s="210" t="s">
        <v>281</v>
      </c>
      <c r="B8" s="7" t="str">
        <f>IF(  AND(ISNUMBER(C8),OR(ISNUMBER(D8),D8="PG")),IF(IF(Capa!$B$6="B",0,Capa!$B$6)&gt;=C8,1,0),"")</f>
        <v/>
      </c>
      <c r="C8" s="17" t="str">
        <f>IF(ISBLANK(D8),"",IF(ISERR(SEARCH(D8&amp;"\","&lt;B&gt;\&lt;1&gt;\&lt;2&gt;\&lt;3&gt;\")),IF(AND(NOT(ISBLANK(C7)),C7&lt;=3),C7,""),
IF(SEARCH(D8&amp;"\","&lt;B&gt;\&lt;1&gt;\&lt;2&gt;\&lt;3&gt;\")=1,0,IF(SEARCH(D8&amp;"\","&lt;B&gt;\&lt;1&gt;\&lt;2&gt;\&lt;3&gt;\")=5,1,IF(SEARCH(D8&amp;"\","&lt;B&gt;\&lt;1&gt;\&lt;2&gt;\&lt;3&gt;\")=9,2,IF(SEARCH(D8&amp;"\","&lt;B&gt;\&lt;1&gt;\&lt;2&gt;\&lt;3&gt;\")=13,3,""))))))</f>
        <v/>
      </c>
      <c r="D8" s="18"/>
      <c r="E8" s="98">
        <f>IF(SUMIFS($B$1:$B$235,$A$1:$A$235,"="&amp;A7&amp;"?",B$1:B$235,"&gt;0")&lt;=0,0,COUNTIFS($F$1:$F$235,"*",$A$1:$A$235,"="&amp;A7&amp;"?",B$1:B$235,"&gt;0")/SUMIFS($B$1:$B$235,$A$1:$A$235,"="&amp;A7&amp;"?",B$1:B$235,"&gt;0"))</f>
        <v>0</v>
      </c>
      <c r="F8" s="131"/>
      <c r="G8" s="284"/>
      <c r="H8" s="253"/>
      <c r="I8" s="131"/>
      <c r="J8" s="253"/>
      <c r="K8" s="285"/>
      <c r="L8" s="255"/>
      <c r="M8" s="100">
        <f>(COUNTIFS($A$1:$A$235,"="&amp;$A7&amp;"?",$B$1:$B$235,"&gt;0",$D$1:$D$235,"=PG",M$1:M$235,"=1")*(IF(Capa!$B$6="B",100,IF(Capa!$B$6=1,50,IF(Capa!$B$6=2,33,25))))+COUNTIFS($A$1:$A$235,"="&amp;$A7&amp;"?",$B$1:$B$235,"&gt;0",$D$1:$D$235,"=PG",M$1:M$235,"=2")*(IF(Capa!$B$6="B",100,IF(Capa!$B$6=1,100,IF(Capa!$B$6=2,67,50))))+COUNTIFS($A$1:$A$235,"="&amp;$A7&amp;"?",$B$1:$B$235,"&gt;0",$D$1:$D$235,"=PG",M$1:M$235,"=3")*(IF(Capa!$B$6="B",100,IF(Capa!$B$6=1,100,IF(Capa!$B$6=2,100,75))))+COUNTIFS($A$1:$A$235,"="&amp;$A7&amp;"?",$B$1:$B$235,"&gt;0",$D$1:$D$235,"=PG",M$1:M$235,"=4")*100)/(COUNTIFS($A$1:$A$235,"="&amp;$A7&amp;"?",$B$1:$B$235,"&gt;0",$D$1:$D$235,"=PG")*100)</f>
        <v>0</v>
      </c>
      <c r="N8" s="100">
        <f>(COUNTIFS($A$1:$A$235,"="&amp;$A7&amp;"?",$B$1:$B$235,"&gt;0",$D$1:$D$235,"=PG",N$1:N$235,"=1")*(IF(Capa!$B$6="B",100,IF(Capa!$B$6=1,50,IF(Capa!$B$6=2,33,25))))+COUNTIFS($A$1:$A$235,"="&amp;$A7&amp;"?",$B$1:$B$235,"&gt;0",$D$1:$D$235,"=PG",N$1:N$235,"=2")*(IF(Capa!$B$6="B",100,IF(Capa!$B$6=1,100,IF(Capa!$B$6=2,67,50))))+COUNTIFS($A$1:$A$235,"="&amp;$A7&amp;"?",$B$1:$B$235,"&gt;0",$D$1:$D$235,"=PG",N$1:N$235,"=3")*(IF(Capa!$B$6="B",100,IF(Capa!$B$6=1,100,IF(Capa!$B$6=2,100,75))))+COUNTIFS($A$1:$A$235,"="&amp;$A7&amp;"?",$B$1:$B$235,"&gt;0",$D$1:$D$235,"=PG",N$1:N$235,"=4")*100)/(COUNTIFS($A$1:$A$235,"="&amp;$A7&amp;"?",$B$1:$B$235,"&gt;0",$D$1:$D$235,"=PG")*100)</f>
        <v>0</v>
      </c>
      <c r="O8" s="100">
        <f>(COUNTIFS($A$1:$A$235,"="&amp;$A7&amp;"?",$B$1:$B$235,"&gt;0",$D$1:$D$235,"=PG",O$1:O$235,"=1")*(IF(Capa!$B$6="B",100,IF(Capa!$B$6=1,50,IF(Capa!$B$6=2,33,25))))+COUNTIFS($A$1:$A$235,"="&amp;$A7&amp;"?",$B$1:$B$235,"&gt;0",$D$1:$D$235,"=PG",O$1:O$235,"=2")*(IF(Capa!$B$6="B",100,IF(Capa!$B$6=1,100,IF(Capa!$B$6=2,67,50))))+COUNTIFS($A$1:$A$235,"="&amp;$A7&amp;"?",$B$1:$B$235,"&gt;0",$D$1:$D$235,"=PG",O$1:O$235,"=3")*(IF(Capa!$B$6="B",100,IF(Capa!$B$6=1,100,IF(Capa!$B$6=2,100,75))))+COUNTIFS($A$1:$A$235,"="&amp;$A7&amp;"?",$B$1:$B$235,"&gt;0",$D$1:$D$235,"=PG",O$1:O$235,"=4")*100)/(COUNTIFS($A$1:$A$235,"="&amp;$A7&amp;"?",$B$1:$B$235,"&gt;0",$D$1:$D$235,"=PG")*100)</f>
        <v>0</v>
      </c>
      <c r="P8" s="414">
        <f>P11+P22+P30+P37+P48+P60</f>
        <v>0</v>
      </c>
      <c r="Q8" s="100">
        <f>(COUNTIFS($A$1:$A$235,"="&amp;$A7&amp;"?",$B$1:$B$235,"",$L$1:$L$235,"&gt;=0",Q$1:Q$235,"=1")*(IF(Capa!$B$6="B",100,IF(Capa!$B$6=1,50,IF(Capa!$B$6=2,33,25))))+COUNTIFS($A$1:$A$235,"="&amp;$A7&amp;"?",$B$1:$B$235,"",$L$1:$L$235,"&gt;=0",Q$1:Q$235,"=2")*(IF(Capa!$B$6="B",100,IF(Capa!$B$6=1,100,IF(Capa!$B$6=2,67,50))))+COUNTIFS($A$1:$A$235,"="&amp;$A7&amp;"?",$B$1:$B$235,"",$L$1:$L$235,"&gt;=0",Q$1:Q$235,"=3")*(IF(Capa!$B$6="B",100,IF(Capa!$B$6=1,100,IF(Capa!$B$6=2,100,75))))+COUNTIFS($A$1:$A$235,"="&amp;$A7&amp;"?",$B$1:$B$235,"",$L$1:$L$235,"&gt;=0",Q$1:Q$235,"=4")*100)/(COUNTIFS($A$1:$A$235,"="&amp;$A7&amp;"?",$B$1:$B$235,"",$L$1:$L$235,"&gt;=0")*100)</f>
        <v>0</v>
      </c>
      <c r="R8" s="100">
        <f>(COUNTIFS($A$1:$A$235,"="&amp;$A7&amp;"?",$B$1:$B$235,"&gt;0",$D$1:$D$235,"=PG",R$1:R$235,"=1")*(IF(Capa!$B$6="B",100,IF(Capa!$B$6=1,50,IF(Capa!$B$6=2,33,25))))+COUNTIFS($A$1:$A$235,"="&amp;$A7&amp;"?",$B$1:$B$235,"&gt;0",$D$1:$D$235,"=PG",R$1:R$235,"=2")*(IF(Capa!$B$6="B",100,IF(Capa!$B$6=1,100,IF(Capa!$B$6=2,67,50))))+COUNTIFS($A$1:$A$235,"="&amp;$A7&amp;"?",$B$1:$B$235,"&gt;0",$D$1:$D$235,"=PG",R$1:R$235,"=3")*(IF(Capa!$B$6="B",100,IF(Capa!$B$6=1,100,IF(Capa!$B$6=2,100,75))))+COUNTIFS($A$1:$A$235,"="&amp;$A7&amp;"?",$B$1:$B$235,"&gt;0",$D$1:$D$235,"=PG",R$1:R$235,"=4")*100)/(COUNTIFS($A$1:$A$235,"="&amp;$A7&amp;"?",$B$1:$B$235,"&gt;0",$D$1:$D$235,"=PG")*100)</f>
        <v>0</v>
      </c>
      <c r="S8" s="100">
        <f>(COUNTIFS($A$1:$A$235,"="&amp;$A7&amp;"?",$B$1:$B$235,"&gt;0",$D$1:$D$235,"=PG",S$1:S$235,"=1")*(IF(Capa!$B$6="B",100,IF(Capa!$B$6=1,50,IF(Capa!$B$6=2,33,25))))+COUNTIFS($A$1:$A$235,"="&amp;$A7&amp;"?",$B$1:$B$235,"&gt;0",$D$1:$D$235,"=PG",S$1:S$235,"=2")*(IF(Capa!$B$6="B",100,IF(Capa!$B$6=1,100,IF(Capa!$B$6=2,67,50))))+COUNTIFS($A$1:$A$235,"="&amp;$A7&amp;"?",$B$1:$B$235,"&gt;0",$D$1:$D$235,"=PG",S$1:S$235,"=3")*(IF(Capa!$B$6="B",100,IF(Capa!$B$6=1,100,IF(Capa!$B$6=2,100,75))))+COUNTIFS($A$1:$A$235,"="&amp;$A7&amp;"?",$B$1:$B$235,"&gt;0",$D$1:$D$235,"=PG",S$1:S$235,"=4")*100)/(COUNTIFS($A$1:$A$235,"="&amp;$A7&amp;"?",$B$1:$B$235,"&gt;0",$D$1:$D$235,"=PG")*100)</f>
        <v>0</v>
      </c>
      <c r="T8" s="414">
        <f>T11+T22+T30+T37+T48+T60</f>
        <v>0</v>
      </c>
      <c r="U8" s="100"/>
      <c r="V8" s="538"/>
      <c r="W8" s="478"/>
      <c r="X8" s="522"/>
      <c r="Y8" s="522"/>
      <c r="Z8" s="522"/>
      <c r="AA8" s="522"/>
      <c r="AB8" s="522"/>
    </row>
    <row r="9" spans="1:28" x14ac:dyDescent="0.25">
      <c r="A9" s="210" t="s">
        <v>283</v>
      </c>
      <c r="B9" s="7" t="str">
        <f>IF(  AND(ISNUMBER(C9),OR(ISNUMBER(D9),D9="PG")),IF(IF(Capa!$B$6="B",0,Capa!$B$6)&gt;=C9,1,0),"")</f>
        <v/>
      </c>
      <c r="C9" s="11" t="str">
        <f t="shared" ref="C9:C84" si="1">IF(ISBLANK(D9),"",IF(ISERR(SEARCH(D9&amp;"\","&lt;B&gt;\&lt;1&gt;\&lt;2&gt;\&lt;3&gt;\")),IF(AND(NOT(ISBLANK(C8)),C8&lt;=3),C8,""),
IF(SEARCH(D9&amp;"\","&lt;B&gt;\&lt;1&gt;\&lt;2&gt;\&lt;3&gt;\")=1,0,IF(SEARCH(D9&amp;"\","&lt;B&gt;\&lt;1&gt;\&lt;2&gt;\&lt;3&gt;\")=5,1,IF(SEARCH(D9&amp;"\","&lt;B&gt;\&lt;1&gt;\&lt;2&gt;\&lt;3&gt;\")=9,2,IF(SEARCH(D9&amp;"\","&lt;B&gt;\&lt;1&gt;\&lt;2&gt;\&lt;3&gt;\")=13,3,""))))))</f>
        <v/>
      </c>
      <c r="D9" s="15"/>
      <c r="E9" s="258" t="s">
        <v>284</v>
      </c>
      <c r="F9" s="23"/>
      <c r="G9" s="219"/>
      <c r="H9" s="220"/>
      <c r="I9" s="23"/>
      <c r="J9" s="220"/>
      <c r="K9" s="259"/>
      <c r="L9" s="383">
        <f>IF(AND($B11=1,D11="PG"),IF(COUNTIFS($A$1:$A$235,"="&amp;$A9,$B$1:$B$235,"&gt;0",$D$1:$D$235,"&gt;0")&gt;0,
        (COUNTIFS($A$1:$A$235,"="&amp;$A9,$B$1:$B$235,"&gt;0",$D$1:$D$235,"&gt;0",F$1:F$235,"=S",I$1:I$235,"") +
         (COUNTIFS($A$1:$A$235,"="&amp;$A9,$B$1:$B$235,"&gt;0",$D$1:$D$235,"&gt;0",$F$1:$F$235,"=P",I$1:I$235,"")/2) +
         COUNTIFS($A$1:$A$235,"="&amp;$A9,$B$1:$B$235,"&gt;0",$D$1:$D$235,"&gt;0",I$1:I$235,"=S") +
         (COUNTIFS($A$1:$A$235,"="&amp;$A9,$B$1:$B$235,"&gt;0",$D$1:$D$235,"&gt;0",I$1:I$235,"=P")/2)
         )/COUNTIFS($A$1:$A$235,"="&amp;$A9,$B$1:$B$235,"&gt;0",$D$1:$D$235,"&gt;0"),1),"")</f>
        <v>1</v>
      </c>
      <c r="M9" s="380"/>
      <c r="N9" s="70"/>
      <c r="O9" s="68"/>
      <c r="P9" s="68"/>
      <c r="Q9" s="83">
        <f>IF(L9="","",MIN(IF(ISBLANK(Q11),0,Q11),IF(L9&gt;0.9,4,IF(L9&gt;0.5,3,IF(L9&gt;0.3,2,IF(OR(L9&gt;0,Q11&gt;0),1,0))))))</f>
        <v>0</v>
      </c>
      <c r="R9" s="133"/>
      <c r="S9" s="286"/>
      <c r="T9" s="286"/>
      <c r="U9" s="286"/>
      <c r="V9" s="539"/>
      <c r="W9" s="64"/>
      <c r="X9" s="579"/>
      <c r="Y9" s="579"/>
      <c r="Z9" s="579"/>
      <c r="AA9" s="579"/>
      <c r="AB9" s="579"/>
    </row>
    <row r="10" spans="1:28" ht="5.45" customHeight="1" x14ac:dyDescent="0.25">
      <c r="A10" s="210" t="s">
        <v>283</v>
      </c>
      <c r="B10" s="7" t="str">
        <f>IF(  AND(ISNUMBER(C10),OR(ISNUMBER(D10),D10="PG")),IF(IF(Capa!$B$6="B",0,Capa!$B$6)&gt;=C10,1,0),"")</f>
        <v/>
      </c>
      <c r="C10" s="6">
        <f t="shared" si="1"/>
        <v>0</v>
      </c>
      <c r="D10" s="5" t="s">
        <v>53</v>
      </c>
      <c r="E10" s="248"/>
      <c r="F10" s="26"/>
      <c r="G10" s="264"/>
      <c r="H10" s="239"/>
      <c r="I10" s="26"/>
      <c r="J10" s="239"/>
      <c r="K10" s="265"/>
      <c r="L10" s="242"/>
      <c r="M10" s="59"/>
      <c r="N10" s="59"/>
      <c r="O10" s="59"/>
      <c r="P10" s="59"/>
      <c r="Q10" s="59"/>
      <c r="R10" s="59"/>
      <c r="S10" s="262"/>
      <c r="T10" s="262"/>
      <c r="U10" s="355"/>
      <c r="V10" s="538"/>
      <c r="W10" s="478"/>
      <c r="X10" s="522"/>
      <c r="Y10" s="522"/>
      <c r="Z10" s="522"/>
      <c r="AA10" s="522"/>
      <c r="AB10" s="522"/>
    </row>
    <row r="11" spans="1:28" ht="76.5" x14ac:dyDescent="0.25">
      <c r="A11" s="646" t="s">
        <v>283</v>
      </c>
      <c r="B11" s="7">
        <f>IF(  AND(ISNUMBER(C11),OR(ISNUMBER(D11),D11="PG")),IF(IF(Capa!$B$6="B",0,Capa!$B$6)&gt;=C11,1,0),"")</f>
        <v>1</v>
      </c>
      <c r="C11" s="6">
        <f t="shared" si="1"/>
        <v>0</v>
      </c>
      <c r="D11" s="647" t="s">
        <v>54</v>
      </c>
      <c r="E11" s="389" t="s">
        <v>285</v>
      </c>
      <c r="F11" s="513"/>
      <c r="G11" s="468"/>
      <c r="H11" s="241"/>
      <c r="I11" s="29"/>
      <c r="J11" s="239"/>
      <c r="K11" s="471"/>
      <c r="L11" s="697"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76"/>
      <c r="X11" s="522"/>
      <c r="Y11" s="522"/>
      <c r="Z11" s="522"/>
      <c r="AA11" s="522"/>
      <c r="AB11" s="522"/>
    </row>
    <row r="12" spans="1:28" ht="8.4499999999999993" customHeight="1" x14ac:dyDescent="0.25">
      <c r="A12" s="646" t="s">
        <v>286</v>
      </c>
      <c r="B12" s="7" t="str">
        <f>IF(  AND(ISNUMBER(C12),OR(ISNUMBER(D12),D12="PG")),IF(IF(Capa!$B$6="B",0,Capa!$B$6)&gt;=C12,1,0),"")</f>
        <v/>
      </c>
      <c r="C12" s="6">
        <f t="shared" si="1"/>
        <v>1</v>
      </c>
      <c r="D12" s="647" t="s">
        <v>62</v>
      </c>
      <c r="E12" s="394"/>
      <c r="F12" s="513"/>
      <c r="G12" s="468"/>
      <c r="H12" s="241"/>
      <c r="I12" s="29"/>
      <c r="J12" s="239"/>
      <c r="K12" s="471"/>
      <c r="L12" s="242"/>
      <c r="M12" s="57"/>
      <c r="N12" s="56"/>
      <c r="O12" s="56"/>
      <c r="P12" s="56"/>
      <c r="Q12" s="56"/>
      <c r="R12" s="56"/>
      <c r="S12" s="58"/>
      <c r="T12" s="58"/>
      <c r="U12" s="58"/>
      <c r="V12" s="464"/>
      <c r="W12" s="476"/>
      <c r="X12" s="522"/>
      <c r="Y12" s="522"/>
      <c r="Z12" s="522"/>
      <c r="AA12" s="522"/>
      <c r="AB12" s="522"/>
    </row>
    <row r="13" spans="1:28" ht="45" x14ac:dyDescent="0.25">
      <c r="A13" s="646" t="s">
        <v>286</v>
      </c>
      <c r="B13" s="7">
        <f>IF(  AND(ISNUMBER(C13),OR(ISNUMBER(D13),D13="PG")),IF(IF(Capa!$B$6="B",0,Capa!$B$6)&gt;=C13,1,0),"")</f>
        <v>0</v>
      </c>
      <c r="C13" s="6">
        <f t="shared" si="1"/>
        <v>1</v>
      </c>
      <c r="D13" s="647">
        <v>168</v>
      </c>
      <c r="E13" s="398" t="s">
        <v>287</v>
      </c>
      <c r="F13" s="513"/>
      <c r="G13" s="468"/>
      <c r="H13" s="241"/>
      <c r="I13" s="29"/>
      <c r="J13" s="425">
        <f t="shared" ref="J13:J18" si="2">LEN(K13)</f>
        <v>0</v>
      </c>
      <c r="K13" s="471"/>
      <c r="L13" s="697" t="str">
        <f t="shared" ref="L13:L18" si="3">IF(OR(I13="N",I13="P"),1,"")</f>
        <v/>
      </c>
      <c r="M13" s="719"/>
      <c r="N13" s="720"/>
      <c r="O13" s="720"/>
      <c r="P13" s="720"/>
      <c r="Q13" s="720"/>
      <c r="R13" s="720"/>
      <c r="S13" s="720"/>
      <c r="T13" s="721"/>
      <c r="U13" s="71"/>
      <c r="V13" s="464"/>
      <c r="W13" s="476"/>
      <c r="X13" s="522"/>
      <c r="Y13" s="522"/>
      <c r="Z13" s="522"/>
      <c r="AA13" s="522"/>
      <c r="AB13" s="522"/>
    </row>
    <row r="14" spans="1:28" ht="8.4499999999999993" customHeight="1" x14ac:dyDescent="0.25">
      <c r="A14" s="646" t="s">
        <v>283</v>
      </c>
      <c r="B14" s="7" t="str">
        <f>IF(  AND(ISNUMBER(C14),OR(ISNUMBER(D14),D14="PG")),IF(IF(Capa!$B$6="B",0,Capa!$B$6)&gt;=C14,1,0),"")</f>
        <v/>
      </c>
      <c r="C14" s="6">
        <f t="shared" si="1"/>
        <v>2</v>
      </c>
      <c r="D14" s="647" t="s">
        <v>64</v>
      </c>
      <c r="E14" s="391"/>
      <c r="F14" s="513"/>
      <c r="G14" s="468"/>
      <c r="H14" s="241"/>
      <c r="I14" s="29"/>
      <c r="J14" s="425">
        <f t="shared" si="2"/>
        <v>0</v>
      </c>
      <c r="K14" s="471"/>
      <c r="L14" s="697" t="str">
        <f t="shared" si="3"/>
        <v/>
      </c>
      <c r="M14" s="719"/>
      <c r="N14" s="720"/>
      <c r="O14" s="720"/>
      <c r="P14" s="720"/>
      <c r="Q14" s="720"/>
      <c r="R14" s="720"/>
      <c r="S14" s="720"/>
      <c r="T14" s="721"/>
      <c r="U14" s="71"/>
      <c r="V14" s="464"/>
      <c r="W14" s="476"/>
      <c r="X14" s="522"/>
      <c r="Y14" s="522"/>
      <c r="Z14" s="522"/>
      <c r="AA14" s="522"/>
      <c r="AB14" s="522"/>
    </row>
    <row r="15" spans="1:28" ht="60" x14ac:dyDescent="0.25">
      <c r="A15" s="646" t="s">
        <v>283</v>
      </c>
      <c r="B15" s="7">
        <f>IF(  AND(ISNUMBER(C15),OR(ISNUMBER(D15),D15="PG")),IF(IF(Capa!$B$6="B",0,Capa!$B$6)&gt;=C15,1,0),"")</f>
        <v>0</v>
      </c>
      <c r="C15" s="6">
        <f t="shared" si="1"/>
        <v>2</v>
      </c>
      <c r="D15" s="647">
        <v>169</v>
      </c>
      <c r="E15" s="352" t="s">
        <v>288</v>
      </c>
      <c r="F15" s="513"/>
      <c r="G15" s="468"/>
      <c r="H15" s="241"/>
      <c r="I15" s="29"/>
      <c r="J15" s="425">
        <f t="shared" si="2"/>
        <v>0</v>
      </c>
      <c r="K15" s="471"/>
      <c r="L15" s="697" t="str">
        <f t="shared" si="3"/>
        <v/>
      </c>
      <c r="M15" s="719"/>
      <c r="N15" s="720"/>
      <c r="O15" s="720"/>
      <c r="P15" s="720"/>
      <c r="Q15" s="720"/>
      <c r="R15" s="720"/>
      <c r="S15" s="720"/>
      <c r="T15" s="721"/>
      <c r="U15" s="71"/>
      <c r="V15" s="464"/>
      <c r="W15" s="476"/>
      <c r="X15" s="522"/>
      <c r="Y15" s="522"/>
      <c r="Z15" s="522"/>
      <c r="AA15" s="522"/>
      <c r="AB15" s="522"/>
    </row>
    <row r="16" spans="1:28" ht="45" x14ac:dyDescent="0.25">
      <c r="A16" s="646" t="s">
        <v>283</v>
      </c>
      <c r="B16" s="7">
        <f>IF(  AND(ISNUMBER(C16),OR(ISNUMBER(D16),D16="PG")),IF(IF(Capa!$B$6="B",0,Capa!$B$6)&gt;=C16,1,0),"")</f>
        <v>0</v>
      </c>
      <c r="C16" s="6">
        <f t="shared" si="1"/>
        <v>2</v>
      </c>
      <c r="D16" s="647">
        <v>170</v>
      </c>
      <c r="E16" s="411" t="s">
        <v>289</v>
      </c>
      <c r="F16" s="513"/>
      <c r="G16" s="468"/>
      <c r="H16" s="241"/>
      <c r="I16" s="29"/>
      <c r="J16" s="425">
        <f t="shared" si="2"/>
        <v>0</v>
      </c>
      <c r="K16" s="471"/>
      <c r="L16" s="697" t="str">
        <f t="shared" si="3"/>
        <v/>
      </c>
      <c r="M16" s="719"/>
      <c r="N16" s="720"/>
      <c r="O16" s="720"/>
      <c r="P16" s="720"/>
      <c r="Q16" s="720"/>
      <c r="R16" s="720"/>
      <c r="S16" s="720"/>
      <c r="T16" s="721"/>
      <c r="U16" s="71"/>
      <c r="V16" s="464"/>
      <c r="W16" s="476"/>
      <c r="X16" s="522"/>
      <c r="Y16" s="522"/>
      <c r="Z16" s="522"/>
      <c r="AA16" s="522"/>
      <c r="AB16" s="522"/>
    </row>
    <row r="17" spans="1:28" ht="6.6" customHeight="1" x14ac:dyDescent="0.25">
      <c r="A17" s="646" t="s">
        <v>283</v>
      </c>
      <c r="B17" s="7" t="str">
        <f>IF(  AND(ISNUMBER(C17),OR(ISNUMBER(D17),D17="PG")),IF(IF(Capa!$B$6="B",0,Capa!$B$6)&gt;=C17,1,0),"")</f>
        <v/>
      </c>
      <c r="C17" s="6">
        <f t="shared" si="1"/>
        <v>3</v>
      </c>
      <c r="D17" s="647" t="s">
        <v>70</v>
      </c>
      <c r="E17" s="352"/>
      <c r="F17" s="513"/>
      <c r="G17" s="468"/>
      <c r="H17" s="241"/>
      <c r="I17" s="29"/>
      <c r="J17" s="425">
        <f t="shared" si="2"/>
        <v>0</v>
      </c>
      <c r="K17" s="471"/>
      <c r="L17" s="697" t="str">
        <f t="shared" si="3"/>
        <v/>
      </c>
      <c r="M17" s="719"/>
      <c r="N17" s="720"/>
      <c r="O17" s="720"/>
      <c r="P17" s="720"/>
      <c r="Q17" s="720"/>
      <c r="R17" s="720"/>
      <c r="S17" s="720"/>
      <c r="T17" s="721"/>
      <c r="U17" s="71"/>
      <c r="V17" s="464"/>
      <c r="W17" s="476"/>
      <c r="X17" s="522"/>
      <c r="Y17" s="522"/>
      <c r="Z17" s="522"/>
      <c r="AA17" s="522"/>
      <c r="AB17" s="522"/>
    </row>
    <row r="18" spans="1:28" ht="90" x14ac:dyDescent="0.25">
      <c r="A18" s="646" t="s">
        <v>283</v>
      </c>
      <c r="B18" s="7">
        <f>IF(  AND(ISNUMBER(C18),OR(ISNUMBER(D18),D18="PG")),IF(IF(Capa!$B$6="B",0,Capa!$B$6)&gt;=C18,1,0),"")</f>
        <v>0</v>
      </c>
      <c r="C18" s="6">
        <f t="shared" si="1"/>
        <v>3</v>
      </c>
      <c r="D18" s="647">
        <v>171</v>
      </c>
      <c r="E18" s="352" t="s">
        <v>290</v>
      </c>
      <c r="F18" s="513"/>
      <c r="G18" s="468"/>
      <c r="H18" s="241"/>
      <c r="I18" s="29"/>
      <c r="J18" s="425">
        <f t="shared" si="2"/>
        <v>0</v>
      </c>
      <c r="K18" s="471"/>
      <c r="L18" s="697" t="str">
        <f t="shared" si="3"/>
        <v/>
      </c>
      <c r="M18" s="719"/>
      <c r="N18" s="720"/>
      <c r="O18" s="720"/>
      <c r="P18" s="720"/>
      <c r="Q18" s="720"/>
      <c r="R18" s="720"/>
      <c r="S18" s="720"/>
      <c r="T18" s="721"/>
      <c r="U18" s="71"/>
      <c r="V18" s="464"/>
      <c r="W18" s="476"/>
      <c r="X18" s="522"/>
      <c r="Y18" s="522"/>
      <c r="Z18" s="522"/>
      <c r="AA18" s="522"/>
      <c r="AB18" s="522"/>
    </row>
    <row r="19" spans="1:28" ht="5.85" customHeight="1" x14ac:dyDescent="0.25">
      <c r="B19" s="7" t="str">
        <f>IF(  AND(ISNUMBER(C19),OR(ISNUMBER(D19),D19="PG")),IF(IF(Capa!$B$6="B",0,Capa!$B$6)&gt;=C19,1,0),"")</f>
        <v/>
      </c>
      <c r="C19" s="6" t="str">
        <f t="shared" si="1"/>
        <v/>
      </c>
      <c r="D19" s="225"/>
      <c r="E19" s="226"/>
      <c r="F19" s="123"/>
      <c r="G19" s="227"/>
      <c r="H19" s="227"/>
      <c r="I19" s="123"/>
      <c r="J19" s="227"/>
      <c r="K19" s="692"/>
      <c r="L19" s="227"/>
      <c r="M19" s="119"/>
      <c r="N19" s="119"/>
      <c r="O19" s="119"/>
      <c r="P19" s="119"/>
      <c r="Q19" s="119"/>
      <c r="R19" s="119"/>
      <c r="S19" s="229"/>
      <c r="T19" s="229"/>
      <c r="U19" s="454"/>
      <c r="V19" s="536"/>
      <c r="W19" s="121"/>
      <c r="X19" s="522"/>
      <c r="Y19" s="522"/>
      <c r="Z19" s="522"/>
      <c r="AA19" s="522"/>
      <c r="AB19" s="522"/>
    </row>
    <row r="20" spans="1:28" x14ac:dyDescent="0.25">
      <c r="A20" s="210" t="s">
        <v>291</v>
      </c>
      <c r="B20" s="7" t="str">
        <f>IF(  AND(ISNUMBER(C20),OR(ISNUMBER(D20),D20="PG")),IF(IF(Capa!$B$6="B",0,Capa!$B$6)&gt;=C20,1,0),"")</f>
        <v/>
      </c>
      <c r="C20" s="6" t="str">
        <f t="shared" si="1"/>
        <v/>
      </c>
      <c r="D20" s="15"/>
      <c r="E20" s="395" t="s">
        <v>292</v>
      </c>
      <c r="F20" s="517"/>
      <c r="G20" s="532"/>
      <c r="H20" s="219"/>
      <c r="I20" s="23"/>
      <c r="J20" s="219"/>
      <c r="K20" s="528"/>
      <c r="L20" s="383" t="str">
        <f>IF(AND($B22=1,D22="PG"),IF(COUNTIFS($A$1:$A$235,"="&amp;$A20,$B$1:$B$235,"&gt;0",$D$1:$D$235,"&gt;0")&gt;0,
        (COUNTIFS($A$1:$A$235,"="&amp;$A20,$B$1:$B$235,"&gt;0",$D$1:$D$235,"&gt;0",F$1:F$235,"=S",I$1:I$235,"") +
         (COUNTIFS($A$1:$A$235,"="&amp;$A20,$B$1:$B$235,"&gt;0",$D$1:$D$235,"&gt;0",$F$1:$F$235,"=P",I$1:I$235,"")/2) +
         COUNTIFS($A$1:$A$235,"="&amp;$A20,$B$1:$B$235,"&gt;0",$D$1:$D$235,"&gt;0",I$1:I$235,"=S") +
         (COUNTIFS($A$1:$A$235,"="&amp;$A20,$B$1:$B$235,"&gt;0",$D$1:$D$235,"&gt;0",I$1:I$235,"=P")/2)
         )/COUNTIFS($A$1:$A$235,"="&amp;$A20,$B$1:$B$235,"&gt;0",$D$1:$D$235,"&gt;0"),1),"")</f>
        <v/>
      </c>
      <c r="M20" s="380"/>
      <c r="N20" s="70"/>
      <c r="O20" s="68"/>
      <c r="P20" s="68"/>
      <c r="Q20" s="83" t="str">
        <f>IF(L20="","",MIN(IF(ISBLANK(Q22),0,Q22),IF(L20&gt;0.9,4,IF(L20&gt;0.5,3,IF(L20&gt;0.3,2,IF(OR(L20&gt;0,Q22&gt;0),1,0))))))</f>
        <v/>
      </c>
      <c r="R20" s="70"/>
      <c r="S20" s="260"/>
      <c r="T20" s="260"/>
      <c r="U20" s="260"/>
      <c r="V20" s="537"/>
      <c r="W20" s="66"/>
      <c r="X20" s="579"/>
      <c r="Y20" s="579"/>
      <c r="Z20" s="579"/>
      <c r="AA20" s="579"/>
      <c r="AB20" s="579"/>
    </row>
    <row r="21" spans="1:28" ht="6.6" customHeight="1" x14ac:dyDescent="0.25">
      <c r="A21" s="210" t="s">
        <v>291</v>
      </c>
      <c r="B21" s="7" t="str">
        <f>IF(  AND(ISNUMBER(C21),OR(ISNUMBER(D21),D21="PG")),IF(IF(Capa!$B$6="B",0,Capa!$B$6)&gt;=C21,1,0),"")</f>
        <v/>
      </c>
      <c r="C21" s="6">
        <f t="shared" si="1"/>
        <v>1</v>
      </c>
      <c r="D21" s="18" t="s">
        <v>62</v>
      </c>
      <c r="E21" s="394"/>
      <c r="F21" s="516"/>
      <c r="G21" s="533"/>
      <c r="H21" s="239"/>
      <c r="I21" s="27"/>
      <c r="J21" s="239"/>
      <c r="K21" s="529"/>
      <c r="L21" s="242"/>
      <c r="M21" s="65"/>
      <c r="N21" s="65"/>
      <c r="O21" s="65"/>
      <c r="P21" s="65"/>
      <c r="Q21" s="65"/>
      <c r="R21" s="65"/>
      <c r="S21" s="288"/>
      <c r="T21" s="288"/>
      <c r="U21" s="460"/>
      <c r="V21" s="540"/>
      <c r="W21" s="577"/>
      <c r="X21" s="522"/>
      <c r="Y21" s="522"/>
      <c r="Z21" s="522"/>
      <c r="AA21" s="522"/>
      <c r="AB21" s="522"/>
    </row>
    <row r="22" spans="1:28" ht="114.75" x14ac:dyDescent="0.25">
      <c r="A22" s="646" t="s">
        <v>291</v>
      </c>
      <c r="B22" s="7">
        <f>IF(  AND(ISNUMBER(C22),OR(ISNUMBER(D22),D22="PG")),IF(IF(Capa!$B$6="B",0,Capa!$B$6)&gt;=C22,1,0),"")</f>
        <v>0</v>
      </c>
      <c r="C22" s="6">
        <f t="shared" si="1"/>
        <v>1</v>
      </c>
      <c r="D22" s="647" t="s">
        <v>54</v>
      </c>
      <c r="E22" s="389" t="s">
        <v>293</v>
      </c>
      <c r="F22" s="513"/>
      <c r="G22" s="468"/>
      <c r="H22" s="241"/>
      <c r="I22" s="29"/>
      <c r="J22" s="239"/>
      <c r="K22" s="471"/>
      <c r="L22" s="697" t="str">
        <f>IF(OR(AND(NOT(ISBLANK(M22)),M22&lt;IF(Capa!$B$6&lt;&gt;"B",Capa!$B$6+1,1)),AND(NOT(ISBLANK(N22)),N22&lt;IF(Capa!$B$6&lt;&gt;"B",Capa!$B$6+1,1)),AND(NOT(ISBLANK(O22)),O22&lt;IF(Capa!$B$6&lt;&gt;"B",Capa!$B$6+1,1)),AND(NOT(ISBLANK(Q22)),Q22&lt;IF(Capa!$B$6&lt;&gt;"B",Capa!$B$6+1,1)),AND(NOT(ISBLANK(R22)),R22&lt;IF(Capa!$B$6&lt;&gt;"B",Capa!$B$6+1,1)),AND(NOT(ISBLANK(S22)),S22&lt;IF(Capa!$B$6&lt;&gt;"B",Capa!$B$6+1,1))),1,"")</f>
        <v/>
      </c>
      <c r="M22" s="81"/>
      <c r="N22" s="81"/>
      <c r="O22" s="81"/>
      <c r="P22" s="81"/>
      <c r="Q22" s="81"/>
      <c r="R22" s="81"/>
      <c r="S22" s="81"/>
      <c r="T22" s="81"/>
      <c r="U22" s="58"/>
      <c r="V22" s="464"/>
      <c r="W22" s="476"/>
      <c r="X22" s="522"/>
      <c r="Y22" s="522"/>
      <c r="Z22" s="522"/>
      <c r="AA22" s="522"/>
      <c r="AB22" s="522"/>
    </row>
    <row r="23" spans="1:28" ht="7.35" customHeight="1" x14ac:dyDescent="0.25">
      <c r="A23" s="646" t="s">
        <v>283</v>
      </c>
      <c r="B23" s="7" t="str">
        <f>IF(  AND(ISNUMBER(C23),OR(ISNUMBER(D23),D23="PG")),IF(IF(Capa!$B$6="B",0,Capa!$B$6)&gt;=C23,1,0),"")</f>
        <v/>
      </c>
      <c r="C23" s="6">
        <f t="shared" si="1"/>
        <v>2</v>
      </c>
      <c r="D23" s="647" t="s">
        <v>64</v>
      </c>
      <c r="E23" s="391"/>
      <c r="F23" s="513"/>
      <c r="G23" s="468"/>
      <c r="H23" s="241"/>
      <c r="I23" s="29"/>
      <c r="J23" s="239"/>
      <c r="K23" s="471"/>
      <c r="L23" s="242"/>
      <c r="M23" s="59"/>
      <c r="N23" s="59"/>
      <c r="O23" s="59"/>
      <c r="P23" s="59"/>
      <c r="Q23" s="59"/>
      <c r="R23" s="59"/>
      <c r="S23" s="262"/>
      <c r="T23" s="262"/>
      <c r="U23" s="355"/>
      <c r="V23" s="538"/>
      <c r="W23" s="478"/>
      <c r="X23" s="522"/>
      <c r="Y23" s="522"/>
      <c r="Z23" s="522"/>
      <c r="AA23" s="522"/>
      <c r="AB23" s="522"/>
    </row>
    <row r="24" spans="1:28" ht="120" x14ac:dyDescent="0.25">
      <c r="A24" s="646" t="s">
        <v>283</v>
      </c>
      <c r="B24" s="7">
        <f>IF(  AND(ISNUMBER(C24),OR(ISNUMBER(D24),D24="PG")),IF(IF(Capa!$B$6="B",0,Capa!$B$6)&gt;=C24,1,0),"")</f>
        <v>0</v>
      </c>
      <c r="C24" s="6">
        <f t="shared" si="1"/>
        <v>2</v>
      </c>
      <c r="D24" s="647">
        <v>172</v>
      </c>
      <c r="E24" s="352" t="s">
        <v>294</v>
      </c>
      <c r="F24" s="513"/>
      <c r="G24" s="468"/>
      <c r="H24" s="241"/>
      <c r="I24" s="29"/>
      <c r="J24" s="425">
        <f t="shared" ref="J24:J26" si="4">LEN(K24)</f>
        <v>0</v>
      </c>
      <c r="K24" s="471"/>
      <c r="L24" s="697" t="str">
        <f t="shared" ref="L24:L26" si="5">IF(OR(I24="N",I24="P"),1,"")</f>
        <v/>
      </c>
      <c r="M24" s="719"/>
      <c r="N24" s="720"/>
      <c r="O24" s="720"/>
      <c r="P24" s="720"/>
      <c r="Q24" s="720"/>
      <c r="R24" s="720"/>
      <c r="S24" s="720"/>
      <c r="T24" s="721"/>
      <c r="U24" s="71"/>
      <c r="V24" s="464"/>
      <c r="W24" s="478"/>
      <c r="X24" s="522"/>
      <c r="Y24" s="522"/>
      <c r="Z24" s="522"/>
      <c r="AA24" s="522"/>
      <c r="AB24" s="522"/>
    </row>
    <row r="25" spans="1:28" ht="5.45" customHeight="1" x14ac:dyDescent="0.25">
      <c r="A25" s="646" t="s">
        <v>291</v>
      </c>
      <c r="B25" s="7" t="str">
        <f>IF(  AND(ISNUMBER(C25),OR(ISNUMBER(D25),D25="PG")),IF(IF(Capa!$B$6="B",0,Capa!$B$6)&gt;=C25,1,0),"")</f>
        <v/>
      </c>
      <c r="C25" s="6">
        <f t="shared" si="1"/>
        <v>3</v>
      </c>
      <c r="D25" s="647" t="s">
        <v>70</v>
      </c>
      <c r="E25" s="391"/>
      <c r="F25" s="513"/>
      <c r="G25" s="468"/>
      <c r="H25" s="241"/>
      <c r="I25" s="29"/>
      <c r="J25" s="425">
        <f t="shared" si="4"/>
        <v>0</v>
      </c>
      <c r="K25" s="471"/>
      <c r="L25" s="697" t="str">
        <f t="shared" si="5"/>
        <v/>
      </c>
      <c r="M25" s="719"/>
      <c r="N25" s="720"/>
      <c r="O25" s="720"/>
      <c r="P25" s="720"/>
      <c r="Q25" s="720"/>
      <c r="R25" s="720"/>
      <c r="S25" s="720"/>
      <c r="T25" s="721"/>
      <c r="U25" s="71"/>
      <c r="V25" s="464"/>
      <c r="W25" s="476"/>
      <c r="X25" s="522"/>
      <c r="Y25" s="522"/>
      <c r="Z25" s="522"/>
      <c r="AA25" s="522"/>
      <c r="AB25" s="522"/>
    </row>
    <row r="26" spans="1:28" ht="79.5" customHeight="1" x14ac:dyDescent="0.25">
      <c r="A26" s="646" t="s">
        <v>291</v>
      </c>
      <c r="B26" s="7">
        <f>IF(  AND(ISNUMBER(C26),OR(ISNUMBER(D26),D26="PG")),IF(IF(Capa!$B$6="B",0,Capa!$B$6)&gt;=C26,1,0),"")</f>
        <v>0</v>
      </c>
      <c r="C26" s="6">
        <f t="shared" si="1"/>
        <v>3</v>
      </c>
      <c r="D26" s="647">
        <v>173</v>
      </c>
      <c r="E26" s="411" t="s">
        <v>295</v>
      </c>
      <c r="F26" s="513"/>
      <c r="G26" s="468"/>
      <c r="H26" s="241"/>
      <c r="I26" s="29"/>
      <c r="J26" s="425">
        <f t="shared" si="4"/>
        <v>0</v>
      </c>
      <c r="K26" s="471"/>
      <c r="L26" s="697" t="str">
        <f t="shared" si="5"/>
        <v/>
      </c>
      <c r="M26" s="719"/>
      <c r="N26" s="720"/>
      <c r="O26" s="720"/>
      <c r="P26" s="720"/>
      <c r="Q26" s="720"/>
      <c r="R26" s="720"/>
      <c r="S26" s="720"/>
      <c r="T26" s="721"/>
      <c r="U26" s="71"/>
      <c r="V26" s="464"/>
      <c r="W26" s="476"/>
      <c r="X26" s="522"/>
      <c r="Y26" s="522"/>
      <c r="Z26" s="522"/>
      <c r="AA26" s="522"/>
      <c r="AB26" s="522"/>
    </row>
    <row r="27" spans="1:28" ht="5.85" customHeight="1" x14ac:dyDescent="0.25">
      <c r="B27" s="7" t="str">
        <f>IF(  AND(ISNUMBER(C27),OR(ISNUMBER(D27),D27="PG")),IF(IF(Capa!$B$6="B",0,Capa!$B$6)&gt;=C27,1,0),"")</f>
        <v/>
      </c>
      <c r="C27" s="6" t="str">
        <f t="shared" si="1"/>
        <v/>
      </c>
      <c r="D27" s="225"/>
      <c r="E27" s="226"/>
      <c r="F27" s="123"/>
      <c r="G27" s="227"/>
      <c r="H27" s="227"/>
      <c r="I27" s="123"/>
      <c r="J27" s="227"/>
      <c r="K27" s="692"/>
      <c r="L27" s="246"/>
      <c r="M27" s="120"/>
      <c r="N27" s="120"/>
      <c r="O27" s="120"/>
      <c r="P27" s="120"/>
      <c r="Q27" s="120"/>
      <c r="R27" s="120"/>
      <c r="S27" s="281"/>
      <c r="T27" s="281"/>
      <c r="U27" s="613"/>
      <c r="V27" s="536"/>
      <c r="W27" s="121"/>
      <c r="X27" s="522"/>
      <c r="Y27" s="522"/>
      <c r="Z27" s="522"/>
      <c r="AA27" s="522"/>
      <c r="AB27" s="522"/>
    </row>
    <row r="28" spans="1:28" x14ac:dyDescent="0.25">
      <c r="A28" s="210" t="s">
        <v>296</v>
      </c>
      <c r="B28" s="7" t="str">
        <f>IF(  AND(ISNUMBER(C28),OR(ISNUMBER(D28),D28="PG")),IF(IF(Capa!$B$6="B",0,Capa!$B$6)&gt;=C28,1,0),"")</f>
        <v/>
      </c>
      <c r="C28" s="6" t="str">
        <f t="shared" si="1"/>
        <v/>
      </c>
      <c r="D28" s="15"/>
      <c r="E28" s="395" t="s">
        <v>297</v>
      </c>
      <c r="F28" s="517"/>
      <c r="G28" s="532"/>
      <c r="H28" s="219"/>
      <c r="I28" s="23"/>
      <c r="J28" s="219"/>
      <c r="K28" s="528"/>
      <c r="L28" s="383">
        <f>IF(AND($B30=1,D30="PG"),IF(COUNTIFS($A$1:$A$235,"="&amp;$A28,$B$1:$B$235,"&gt;0",$D$1:$D$235,"&gt;0")&gt;0,
        (COUNTIFS($A$1:$A$235,"="&amp;$A28,$B$1:$B$235,"&gt;0",$D$1:$D$235,"&gt;0",F$1:F$235,"=S",I$1:I$235,"") +
         (COUNTIFS($A$1:$A$235,"="&amp;$A28,$B$1:$B$235,"&gt;0",$D$1:$D$235,"&gt;0",$F$1:$F$235,"=P",I$1:I$235,"")/2) +
         COUNTIFS($A$1:$A$235,"="&amp;$A28,$B$1:$B$235,"&gt;0",$D$1:$D$235,"&gt;0",I$1:I$235,"=S") +
         (COUNTIFS($A$1:$A$235,"="&amp;$A28,$B$1:$B$235,"&gt;0",$D$1:$D$235,"&gt;0",I$1:I$235,"=P")/2)
         )/COUNTIFS($A$1:$A$235,"="&amp;$A28,$B$1:$B$235,"&gt;0",$D$1:$D$235,"&gt;0"),1),"")</f>
        <v>0</v>
      </c>
      <c r="M28" s="380"/>
      <c r="N28" s="70"/>
      <c r="O28" s="68"/>
      <c r="P28" s="68"/>
      <c r="Q28" s="83">
        <f>IF(L28="","",MIN(IF(ISBLANK(Q30),0,Q30),IF(L28&gt;0.9,4,IF(L28&gt;0.5,3,IF(L28&gt;0.3,2,IF(OR(L28&gt;0,Q30&gt;0),1,0))))))</f>
        <v>0</v>
      </c>
      <c r="R28" s="61"/>
      <c r="S28" s="282"/>
      <c r="T28" s="282"/>
      <c r="U28" s="282"/>
      <c r="V28" s="541"/>
      <c r="W28" s="66"/>
      <c r="X28" s="579"/>
      <c r="Y28" s="579"/>
      <c r="Z28" s="579"/>
      <c r="AA28" s="579"/>
      <c r="AB28" s="579"/>
    </row>
    <row r="29" spans="1:28" ht="6.6" customHeight="1" x14ac:dyDescent="0.25">
      <c r="A29" s="210" t="s">
        <v>296</v>
      </c>
      <c r="B29" s="7" t="str">
        <f>IF(  AND(ISNUMBER(C29),OR(ISNUMBER(D29),D29="PG")),IF(IF(Capa!$B$6="B",0,Capa!$B$6)&gt;=C29,1,0),"")</f>
        <v/>
      </c>
      <c r="C29" s="6">
        <f t="shared" si="1"/>
        <v>0</v>
      </c>
      <c r="D29" s="18" t="s">
        <v>53</v>
      </c>
      <c r="E29" s="394"/>
      <c r="F29" s="516"/>
      <c r="G29" s="533"/>
      <c r="H29" s="239"/>
      <c r="I29" s="26"/>
      <c r="J29" s="239"/>
      <c r="K29" s="529"/>
      <c r="L29" s="242"/>
      <c r="M29" s="59"/>
      <c r="N29" s="59"/>
      <c r="O29" s="59"/>
      <c r="P29" s="59"/>
      <c r="Q29" s="59"/>
      <c r="R29" s="59"/>
      <c r="S29" s="262"/>
      <c r="T29" s="262"/>
      <c r="U29" s="355"/>
      <c r="V29" s="538"/>
      <c r="W29" s="478"/>
      <c r="X29" s="522"/>
      <c r="Y29" s="522"/>
      <c r="Z29" s="522"/>
      <c r="AA29" s="522"/>
      <c r="AB29" s="522"/>
    </row>
    <row r="30" spans="1:28" ht="38.25" x14ac:dyDescent="0.25">
      <c r="A30" s="646" t="s">
        <v>296</v>
      </c>
      <c r="B30" s="7">
        <f>IF(  AND(ISNUMBER(C30),OR(ISNUMBER(D30),D30="PG")),IF(IF(Capa!$B$6="B",0,Capa!$B$6)&gt;=C30,1,0),"")</f>
        <v>1</v>
      </c>
      <c r="C30" s="6">
        <f t="shared" si="1"/>
        <v>0</v>
      </c>
      <c r="D30" s="647" t="s">
        <v>54</v>
      </c>
      <c r="E30" s="389" t="s">
        <v>298</v>
      </c>
      <c r="F30" s="513"/>
      <c r="G30" s="468"/>
      <c r="H30" s="241"/>
      <c r="I30" s="29"/>
      <c r="J30" s="239"/>
      <c r="K30" s="471"/>
      <c r="L30" s="697" t="str">
        <f>IF(OR(AND(NOT(ISBLANK(M30)),M30&lt;IF(Capa!$B$6&lt;&gt;"B",Capa!$B$6+1,1)),AND(NOT(ISBLANK(N30)),N30&lt;IF(Capa!$B$6&lt;&gt;"B",Capa!$B$6+1,1)),AND(NOT(ISBLANK(O30)),O30&lt;IF(Capa!$B$6&lt;&gt;"B",Capa!$B$6+1,1)),AND(NOT(ISBLANK(Q30)),Q30&lt;IF(Capa!$B$6&lt;&gt;"B",Capa!$B$6+1,1)),AND(NOT(ISBLANK(R30)),R30&lt;IF(Capa!$B$6&lt;&gt;"B",Capa!$B$6+1,1)),AND(NOT(ISBLANK(S30)),S30&lt;IF(Capa!$B$6&lt;&gt;"B",Capa!$B$6+1,1))),1,"")</f>
        <v/>
      </c>
      <c r="M30" s="81"/>
      <c r="N30" s="81"/>
      <c r="O30" s="81"/>
      <c r="P30" s="81"/>
      <c r="Q30" s="81"/>
      <c r="R30" s="81"/>
      <c r="S30" s="81"/>
      <c r="T30" s="81"/>
      <c r="U30" s="58"/>
      <c r="V30" s="464"/>
      <c r="W30" s="476"/>
      <c r="X30" s="666"/>
      <c r="Y30" s="522"/>
      <c r="Z30" s="522"/>
      <c r="AA30" s="522"/>
      <c r="AB30" s="522"/>
    </row>
    <row r="31" spans="1:28" ht="30" x14ac:dyDescent="0.25">
      <c r="A31" s="646" t="s">
        <v>296</v>
      </c>
      <c r="B31" s="7">
        <f>IF(  AND(ISNUMBER(C31),OR(ISNUMBER(D31),D31="PG")),IF(IF(Capa!$B$6="B",0,Capa!$B$6)&gt;=C31,1,0),"")</f>
        <v>1</v>
      </c>
      <c r="C31" s="6">
        <f t="shared" si="1"/>
        <v>0</v>
      </c>
      <c r="D31" s="647">
        <v>174</v>
      </c>
      <c r="E31" s="352" t="s">
        <v>299</v>
      </c>
      <c r="F31" s="513"/>
      <c r="G31" s="468"/>
      <c r="H31" s="241"/>
      <c r="I31" s="29"/>
      <c r="J31" s="425">
        <f t="shared" ref="J31:J33" si="6">LEN(K31)</f>
        <v>0</v>
      </c>
      <c r="K31" s="471"/>
      <c r="L31" s="697" t="str">
        <f t="shared" ref="L31:L33" si="7">IF(OR(I31="N",I31="P"),1,"")</f>
        <v/>
      </c>
      <c r="M31" s="719"/>
      <c r="N31" s="720"/>
      <c r="O31" s="720"/>
      <c r="P31" s="720"/>
      <c r="Q31" s="720"/>
      <c r="R31" s="720"/>
      <c r="S31" s="720"/>
      <c r="T31" s="721"/>
      <c r="U31" s="71"/>
      <c r="V31" s="464"/>
      <c r="W31" s="476"/>
      <c r="X31" s="522"/>
      <c r="Y31" s="522"/>
      <c r="Z31" s="522"/>
      <c r="AA31" s="522"/>
      <c r="AB31" s="522"/>
    </row>
    <row r="32" spans="1:28" ht="5.45" customHeight="1" x14ac:dyDescent="0.25">
      <c r="A32" s="646" t="s">
        <v>296</v>
      </c>
      <c r="B32" s="7" t="str">
        <f>IF(  AND(ISNUMBER(C32),OR(ISNUMBER(D32),D32="PG")),IF(IF(Capa!$B$6="B",0,Capa!$B$6)&gt;=C32,1,0),"")</f>
        <v/>
      </c>
      <c r="C32" s="6">
        <f t="shared" si="1"/>
        <v>2</v>
      </c>
      <c r="D32" s="647" t="s">
        <v>64</v>
      </c>
      <c r="E32" s="352"/>
      <c r="F32" s="513"/>
      <c r="G32" s="468"/>
      <c r="H32" s="241"/>
      <c r="I32" s="29"/>
      <c r="J32" s="425">
        <f t="shared" si="6"/>
        <v>0</v>
      </c>
      <c r="K32" s="471"/>
      <c r="L32" s="697" t="str">
        <f t="shared" si="7"/>
        <v/>
      </c>
      <c r="M32" s="719"/>
      <c r="N32" s="720"/>
      <c r="O32" s="720"/>
      <c r="P32" s="720"/>
      <c r="Q32" s="720"/>
      <c r="R32" s="720"/>
      <c r="S32" s="720"/>
      <c r="T32" s="721"/>
      <c r="U32" s="71"/>
      <c r="V32" s="464"/>
      <c r="W32" s="476"/>
      <c r="X32" s="522"/>
      <c r="Y32" s="522"/>
      <c r="Z32" s="522"/>
      <c r="AA32" s="522"/>
      <c r="AB32" s="522"/>
    </row>
    <row r="33" spans="1:28" ht="45" x14ac:dyDescent="0.25">
      <c r="A33" s="646" t="s">
        <v>296</v>
      </c>
      <c r="B33" s="7">
        <f>IF(  AND(ISNUMBER(C33),OR(ISNUMBER(D33),D33="PG")),IF(IF(Capa!$B$6="B",0,Capa!$B$6)&gt;=C33,1,0),"")</f>
        <v>0</v>
      </c>
      <c r="C33" s="6">
        <f t="shared" si="1"/>
        <v>2</v>
      </c>
      <c r="D33" s="647">
        <v>175</v>
      </c>
      <c r="E33" s="352" t="s">
        <v>300</v>
      </c>
      <c r="F33" s="513"/>
      <c r="G33" s="468"/>
      <c r="H33" s="241"/>
      <c r="I33" s="29"/>
      <c r="J33" s="425">
        <f t="shared" si="6"/>
        <v>0</v>
      </c>
      <c r="K33" s="471"/>
      <c r="L33" s="697" t="str">
        <f t="shared" si="7"/>
        <v/>
      </c>
      <c r="M33" s="719"/>
      <c r="N33" s="720"/>
      <c r="O33" s="720"/>
      <c r="P33" s="720"/>
      <c r="Q33" s="720"/>
      <c r="R33" s="720"/>
      <c r="S33" s="720"/>
      <c r="T33" s="721"/>
      <c r="U33" s="71"/>
      <c r="V33" s="464"/>
      <c r="W33" s="476"/>
      <c r="X33" s="522"/>
      <c r="Y33" s="522"/>
      <c r="Z33" s="522"/>
      <c r="AA33" s="522"/>
      <c r="AB33" s="522"/>
    </row>
    <row r="34" spans="1:28" ht="7.35" customHeight="1" x14ac:dyDescent="0.25">
      <c r="B34" s="7" t="str">
        <f>IF(  AND(ISNUMBER(C34),OR(ISNUMBER(D34),D34="PG")),IF(IF(Capa!$B$6="B",0,Capa!$B$6)&gt;=C34,1,0),"")</f>
        <v/>
      </c>
      <c r="C34" s="6" t="str">
        <f t="shared" si="1"/>
        <v/>
      </c>
      <c r="D34" s="22"/>
      <c r="E34" s="402"/>
      <c r="F34" s="518"/>
      <c r="G34" s="531"/>
      <c r="H34" s="239"/>
      <c r="I34" s="26"/>
      <c r="J34" s="239"/>
      <c r="K34" s="471"/>
      <c r="L34" s="242"/>
      <c r="M34" s="59"/>
      <c r="N34" s="59"/>
      <c r="O34" s="59"/>
      <c r="P34" s="59"/>
      <c r="Q34" s="59"/>
      <c r="R34" s="59"/>
      <c r="S34" s="262"/>
      <c r="T34" s="262"/>
      <c r="U34" s="355"/>
      <c r="V34" s="538"/>
      <c r="W34" s="478"/>
      <c r="X34" s="522"/>
      <c r="Y34" s="522"/>
      <c r="Z34" s="522"/>
      <c r="AA34" s="522"/>
      <c r="AB34" s="522"/>
    </row>
    <row r="35" spans="1:28" x14ac:dyDescent="0.25">
      <c r="A35" s="210" t="s">
        <v>286</v>
      </c>
      <c r="B35" s="7" t="str">
        <f>IF(  AND(ISNUMBER(C35),OR(ISNUMBER(D35),D35="PG")),IF(IF(Capa!$B$6="B",0,Capa!$B$6)&gt;=C35,1,0),"")</f>
        <v/>
      </c>
      <c r="C35" s="6" t="str">
        <f t="shared" si="1"/>
        <v/>
      </c>
      <c r="D35" s="395"/>
      <c r="E35" s="517" t="s">
        <v>301</v>
      </c>
      <c r="F35" s="532"/>
      <c r="G35" s="219"/>
      <c r="H35" s="23"/>
      <c r="I35" s="219"/>
      <c r="J35" s="528"/>
      <c r="K35" s="693"/>
      <c r="L35" s="383">
        <f>IF(AND($B37=1,D37="PG"),IF(COUNTIFS($A$1:$A$235,"="&amp;$A35,$B$1:$B$235,"&gt;0",$D$1:$D$235,"&gt;0")&gt;0,
        (COUNTIFS($A$1:$A$235,"="&amp;$A35,$B$1:$B$235,"&gt;0",$D$1:$D$235,"&gt;0",F$1:F$235,"=S",I$1:I$235,"") +
         (COUNTIFS($A$1:$A$235,"="&amp;$A35,$B$1:$B$235,"&gt;0",$D$1:$D$235,"&gt;0",$F$1:$F$235,"=P",I$1:I$235,"")/2) +
         COUNTIFS($A$1:$A$235,"="&amp;$A35,$B$1:$B$235,"&gt;0",$D$1:$D$235,"&gt;0",I$1:I$235,"=S") +
         (COUNTIFS($A$1:$A$235,"="&amp;$A35,$B$1:$B$235,"&gt;0",$D$1:$D$235,"&gt;0",I$1:I$235,"=P")/2)
         )/COUNTIFS($A$1:$A$235,"="&amp;$A35,$B$1:$B$235,"&gt;0",$D$1:$D$235,"&gt;0"),1),"")</f>
        <v>1</v>
      </c>
      <c r="M35" s="380"/>
      <c r="N35" s="70"/>
      <c r="O35" s="68"/>
      <c r="P35" s="68"/>
      <c r="Q35" s="83">
        <f>IF(L35="","",MIN(IF(ISBLANK(Q37),0,Q37),IF(L35&gt;0.9,4,IF(L35&gt;0.5,3,IF(L35&gt;0.3,2,IF(OR(L35&gt;0,Q37&gt;0),1,0))))))</f>
        <v>0</v>
      </c>
      <c r="R35" s="61"/>
      <c r="S35" s="282"/>
      <c r="T35" s="282"/>
      <c r="U35" s="282"/>
      <c r="V35" s="537"/>
      <c r="W35" s="66"/>
      <c r="X35" s="579"/>
      <c r="Y35" s="579"/>
      <c r="Z35" s="579"/>
      <c r="AA35" s="579"/>
      <c r="AB35" s="579"/>
    </row>
    <row r="36" spans="1:28" ht="5.45" customHeight="1" x14ac:dyDescent="0.25">
      <c r="A36" s="210" t="s">
        <v>286</v>
      </c>
      <c r="B36" s="7" t="str">
        <f>IF(  AND(ISNUMBER(C36),OR(ISNUMBER(D36),D36="PG")),IF(IF(Capa!$B$6="B",0,Capa!$B$6)&gt;=C36,1,0),"")</f>
        <v/>
      </c>
      <c r="C36" s="6">
        <f t="shared" si="1"/>
        <v>0</v>
      </c>
      <c r="D36" s="18" t="s">
        <v>53</v>
      </c>
      <c r="E36" s="394"/>
      <c r="F36" s="516"/>
      <c r="G36" s="533"/>
      <c r="H36" s="239"/>
      <c r="I36" s="27"/>
      <c r="J36" s="239"/>
      <c r="K36" s="471"/>
      <c r="L36" s="242"/>
      <c r="M36" s="63"/>
      <c r="N36" s="63"/>
      <c r="O36" s="63"/>
      <c r="P36" s="63"/>
      <c r="Q36" s="63"/>
      <c r="R36" s="63"/>
      <c r="U36" s="287"/>
      <c r="V36" s="542"/>
      <c r="X36" s="522"/>
      <c r="Y36" s="522"/>
      <c r="Z36" s="522"/>
      <c r="AA36" s="522"/>
      <c r="AB36" s="522"/>
    </row>
    <row r="37" spans="1:28" ht="89.25" x14ac:dyDescent="0.25">
      <c r="A37" s="646" t="s">
        <v>286</v>
      </c>
      <c r="B37" s="7">
        <f>IF(  AND(ISNUMBER(C37),OR(ISNUMBER(D37),D37="PG")),IF(IF(Capa!$B$6="B",0,Capa!$B$6)&gt;=C37,1,0),"")</f>
        <v>1</v>
      </c>
      <c r="C37" s="6">
        <f t="shared" si="1"/>
        <v>0</v>
      </c>
      <c r="D37" s="647" t="s">
        <v>54</v>
      </c>
      <c r="E37" s="389" t="s">
        <v>302</v>
      </c>
      <c r="F37" s="513"/>
      <c r="G37" s="468"/>
      <c r="H37" s="241"/>
      <c r="I37" s="29"/>
      <c r="J37" s="239"/>
      <c r="K37" s="471"/>
      <c r="L37" s="697" t="str">
        <f>IF(OR(AND(NOT(ISBLANK(M37)),M37&lt;IF(Capa!$B$6&lt;&gt;"B",Capa!$B$6+1,1)),AND(NOT(ISBLANK(N37)),N37&lt;IF(Capa!$B$6&lt;&gt;"B",Capa!$B$6+1,1)),AND(NOT(ISBLANK(O37)),O37&lt;IF(Capa!$B$6&lt;&gt;"B",Capa!$B$6+1,1)),AND(NOT(ISBLANK(Q37)),Q37&lt;IF(Capa!$B$6&lt;&gt;"B",Capa!$B$6+1,1)),AND(NOT(ISBLANK(R37)),R37&lt;IF(Capa!$B$6&lt;&gt;"B",Capa!$B$6+1,1)),AND(NOT(ISBLANK(S37)),S37&lt;IF(Capa!$B$6&lt;&gt;"B",Capa!$B$6+1,1))),1,"")</f>
        <v/>
      </c>
      <c r="M37" s="81"/>
      <c r="N37" s="81"/>
      <c r="O37" s="81"/>
      <c r="P37" s="81"/>
      <c r="Q37" s="81"/>
      <c r="R37" s="81"/>
      <c r="S37" s="81"/>
      <c r="T37" s="81"/>
      <c r="U37" s="58"/>
      <c r="V37" s="464"/>
      <c r="W37" s="476"/>
      <c r="X37" s="666"/>
      <c r="Y37" s="522"/>
      <c r="Z37" s="522"/>
      <c r="AA37" s="522"/>
      <c r="AB37" s="522"/>
    </row>
    <row r="38" spans="1:28" ht="7.7" customHeight="1" x14ac:dyDescent="0.25">
      <c r="A38" s="646" t="s">
        <v>286</v>
      </c>
      <c r="B38" s="7" t="str">
        <f>IF(  AND(ISNUMBER(C38),OR(ISNUMBER(D38),D38="PG")),IF(IF(Capa!$B$6="B",0,Capa!$B$6)&gt;=C38,1,0),"")</f>
        <v/>
      </c>
      <c r="C38" s="6">
        <f t="shared" si="1"/>
        <v>1</v>
      </c>
      <c r="D38" s="647" t="s">
        <v>62</v>
      </c>
      <c r="E38" s="394"/>
      <c r="F38" s="513"/>
      <c r="G38" s="468"/>
      <c r="H38" s="241"/>
      <c r="I38" s="29"/>
      <c r="J38" s="239"/>
      <c r="K38" s="471"/>
      <c r="L38" s="242"/>
      <c r="M38" s="63"/>
      <c r="N38" s="63"/>
      <c r="O38" s="63"/>
      <c r="P38" s="63"/>
      <c r="Q38" s="63"/>
      <c r="R38" s="63"/>
      <c r="U38" s="287"/>
      <c r="V38" s="542"/>
      <c r="X38" s="522"/>
      <c r="Y38" s="522"/>
      <c r="Z38" s="522"/>
      <c r="AA38" s="522"/>
      <c r="AB38" s="522"/>
    </row>
    <row r="39" spans="1:28" ht="150" x14ac:dyDescent="0.25">
      <c r="A39" s="646" t="s">
        <v>286</v>
      </c>
      <c r="B39" s="7">
        <f>IF(  AND(ISNUMBER(C39),OR(ISNUMBER(D39),D39="PG")),IF(IF(Capa!$B$6="B",0,Capa!$B$6)&gt;=C39,1,0),"")</f>
        <v>0</v>
      </c>
      <c r="C39" s="6">
        <f t="shared" si="1"/>
        <v>1</v>
      </c>
      <c r="D39" s="647">
        <v>176</v>
      </c>
      <c r="E39" s="352" t="s">
        <v>303</v>
      </c>
      <c r="F39" s="513"/>
      <c r="G39" s="468"/>
      <c r="H39" s="241"/>
      <c r="I39" s="29"/>
      <c r="J39" s="425">
        <f t="shared" ref="J39:J44" si="8">LEN(K39)</f>
        <v>0</v>
      </c>
      <c r="K39" s="471"/>
      <c r="L39" s="697" t="str">
        <f t="shared" ref="L39:L44" si="9">IF(OR(I39="N",I39="P"),1,"")</f>
        <v/>
      </c>
      <c r="M39" s="719"/>
      <c r="N39" s="720"/>
      <c r="O39" s="720"/>
      <c r="P39" s="720"/>
      <c r="Q39" s="720"/>
      <c r="R39" s="720"/>
      <c r="S39" s="720"/>
      <c r="T39" s="721"/>
      <c r="U39" s="71"/>
      <c r="V39" s="464"/>
      <c r="W39" s="476"/>
      <c r="X39" s="522"/>
      <c r="Y39" s="522"/>
      <c r="Z39" s="522"/>
      <c r="AA39" s="522"/>
      <c r="AB39" s="522"/>
    </row>
    <row r="40" spans="1:28" ht="6.6" customHeight="1" x14ac:dyDescent="0.25">
      <c r="A40" s="646" t="s">
        <v>286</v>
      </c>
      <c r="B40" s="7" t="str">
        <f>IF(  AND(ISNUMBER(C40),OR(ISNUMBER(D40),D40="PG")),IF(IF(Capa!$B$6="B",0,Capa!$B$6)&gt;=C40,1,0),"")</f>
        <v/>
      </c>
      <c r="C40" s="6">
        <f t="shared" si="1"/>
        <v>2</v>
      </c>
      <c r="D40" s="647" t="s">
        <v>64</v>
      </c>
      <c r="E40" s="352"/>
      <c r="F40" s="513"/>
      <c r="G40" s="468"/>
      <c r="H40" s="241"/>
      <c r="I40" s="29"/>
      <c r="J40" s="425">
        <f t="shared" si="8"/>
        <v>0</v>
      </c>
      <c r="K40" s="471"/>
      <c r="L40" s="697" t="str">
        <f t="shared" si="9"/>
        <v/>
      </c>
      <c r="M40" s="719"/>
      <c r="N40" s="720"/>
      <c r="O40" s="720"/>
      <c r="P40" s="720"/>
      <c r="Q40" s="720"/>
      <c r="R40" s="720"/>
      <c r="S40" s="720"/>
      <c r="T40" s="721"/>
      <c r="U40" s="71"/>
      <c r="V40" s="464"/>
      <c r="W40" s="476"/>
      <c r="X40" s="522"/>
      <c r="Y40" s="522"/>
      <c r="Z40" s="522"/>
      <c r="AA40" s="522"/>
      <c r="AB40" s="522"/>
    </row>
    <row r="41" spans="1:28" ht="29.45" customHeight="1" x14ac:dyDescent="0.25">
      <c r="A41" s="646" t="s">
        <v>286</v>
      </c>
      <c r="B41" s="7">
        <f>IF(  AND(ISNUMBER(C41),OR(ISNUMBER(D41),D41="PG")),IF(IF(Capa!$B$6="B",0,Capa!$B$6)&gt;=C41,1,0),"")</f>
        <v>0</v>
      </c>
      <c r="C41" s="6">
        <f t="shared" si="1"/>
        <v>2</v>
      </c>
      <c r="D41" s="647">
        <v>177</v>
      </c>
      <c r="E41" s="352" t="s">
        <v>304</v>
      </c>
      <c r="F41" s="513"/>
      <c r="G41" s="468"/>
      <c r="H41" s="241"/>
      <c r="I41" s="29"/>
      <c r="J41" s="425">
        <f t="shared" si="8"/>
        <v>0</v>
      </c>
      <c r="K41" s="471"/>
      <c r="L41" s="697" t="str">
        <f t="shared" si="9"/>
        <v/>
      </c>
      <c r="M41" s="719"/>
      <c r="N41" s="720"/>
      <c r="O41" s="720"/>
      <c r="P41" s="720"/>
      <c r="Q41" s="720"/>
      <c r="R41" s="720"/>
      <c r="S41" s="720"/>
      <c r="T41" s="721"/>
      <c r="U41" s="71"/>
      <c r="V41" s="464"/>
      <c r="W41" s="476"/>
      <c r="X41" s="522"/>
      <c r="Y41" s="522"/>
      <c r="Z41" s="522"/>
      <c r="AA41" s="522"/>
      <c r="AB41" s="522"/>
    </row>
    <row r="42" spans="1:28" ht="7.7" customHeight="1" x14ac:dyDescent="0.25">
      <c r="A42" s="646" t="s">
        <v>286</v>
      </c>
      <c r="B42" s="7" t="str">
        <f>IF(  AND(ISNUMBER(C42),OR(ISNUMBER(D42),D42="PG")),IF(IF(Capa!$B$6="B",0,Capa!$B$6)&gt;=C42,1,0),"")</f>
        <v/>
      </c>
      <c r="C42" s="6">
        <f t="shared" si="1"/>
        <v>3</v>
      </c>
      <c r="D42" s="647" t="s">
        <v>70</v>
      </c>
      <c r="E42" s="352"/>
      <c r="F42" s="513"/>
      <c r="G42" s="468"/>
      <c r="H42" s="241"/>
      <c r="I42" s="29"/>
      <c r="J42" s="425">
        <f t="shared" si="8"/>
        <v>0</v>
      </c>
      <c r="K42" s="471"/>
      <c r="L42" s="697" t="str">
        <f t="shared" si="9"/>
        <v/>
      </c>
      <c r="M42" s="719"/>
      <c r="N42" s="720"/>
      <c r="O42" s="720"/>
      <c r="P42" s="720"/>
      <c r="Q42" s="720"/>
      <c r="R42" s="720"/>
      <c r="S42" s="720"/>
      <c r="T42" s="721"/>
      <c r="U42" s="71"/>
      <c r="V42" s="464"/>
      <c r="W42" s="476"/>
      <c r="X42" s="522"/>
      <c r="Y42" s="522"/>
      <c r="Z42" s="522"/>
      <c r="AA42" s="522"/>
      <c r="AB42" s="522"/>
    </row>
    <row r="43" spans="1:28" ht="12.6" hidden="1" customHeight="1" x14ac:dyDescent="0.25">
      <c r="A43" s="646" t="s">
        <v>286</v>
      </c>
      <c r="B43" s="7" t="str">
        <f>IF(  AND(ISNUMBER(C43),OR(ISNUMBER(D43),D43="PG")),IF(IF(Capa!$B$6="B",0,Capa!$B$6)&gt;=C43,1,0),"")</f>
        <v/>
      </c>
      <c r="C43" s="6">
        <f t="shared" si="1"/>
        <v>3</v>
      </c>
      <c r="D43" s="647" t="s">
        <v>70</v>
      </c>
      <c r="E43" s="352"/>
      <c r="F43" s="513"/>
      <c r="G43" s="468"/>
      <c r="H43" s="241"/>
      <c r="I43" s="29"/>
      <c r="J43" s="425">
        <f t="shared" si="8"/>
        <v>0</v>
      </c>
      <c r="K43" s="471"/>
      <c r="L43" s="697" t="str">
        <f t="shared" si="9"/>
        <v/>
      </c>
      <c r="M43" s="719"/>
      <c r="N43" s="720"/>
      <c r="O43" s="720"/>
      <c r="P43" s="720"/>
      <c r="Q43" s="720"/>
      <c r="R43" s="720"/>
      <c r="S43" s="720"/>
      <c r="T43" s="721"/>
      <c r="U43" s="71"/>
      <c r="V43" s="464"/>
      <c r="W43" s="476"/>
      <c r="X43" s="522"/>
      <c r="Y43" s="522"/>
      <c r="Z43" s="522"/>
      <c r="AA43" s="522"/>
      <c r="AB43" s="522"/>
    </row>
    <row r="44" spans="1:28" ht="100.5" customHeight="1" x14ac:dyDescent="0.25">
      <c r="A44" s="646" t="s">
        <v>286</v>
      </c>
      <c r="B44" s="7">
        <f>IF(  AND(ISNUMBER(C44),OR(ISNUMBER(D44),D44="PG")),IF(IF(Capa!$B$6="B",0,Capa!$B$6)&gt;=C44,1,0),"")</f>
        <v>0</v>
      </c>
      <c r="C44" s="6">
        <f t="shared" si="1"/>
        <v>3</v>
      </c>
      <c r="D44" s="647">
        <v>178</v>
      </c>
      <c r="E44" s="352" t="s">
        <v>305</v>
      </c>
      <c r="F44" s="513"/>
      <c r="G44" s="468"/>
      <c r="H44" s="241"/>
      <c r="I44" s="29"/>
      <c r="J44" s="425">
        <f t="shared" si="8"/>
        <v>0</v>
      </c>
      <c r="K44" s="471"/>
      <c r="L44" s="697" t="str">
        <f t="shared" si="9"/>
        <v/>
      </c>
      <c r="M44" s="719"/>
      <c r="N44" s="720"/>
      <c r="O44" s="720"/>
      <c r="P44" s="720"/>
      <c r="Q44" s="720"/>
      <c r="R44" s="720"/>
      <c r="S44" s="720"/>
      <c r="T44" s="721"/>
      <c r="U44" s="71"/>
      <c r="V44" s="464"/>
      <c r="W44" s="476"/>
      <c r="X44" s="522"/>
      <c r="Y44" s="522"/>
      <c r="Z44" s="522"/>
      <c r="AA44" s="522"/>
      <c r="AB44" s="522"/>
    </row>
    <row r="45" spans="1:28" ht="5.85" customHeight="1" x14ac:dyDescent="0.25">
      <c r="B45" s="7" t="str">
        <f>IF(  AND(ISNUMBER(C45),OR(ISNUMBER(D45),D45="PG")),IF(IF(Capa!$B$6="B",0,Capa!$B$6)&gt;=C45,1,0),"")</f>
        <v/>
      </c>
      <c r="C45" s="6" t="str">
        <f t="shared" si="1"/>
        <v/>
      </c>
      <c r="D45" s="225"/>
      <c r="E45" s="226"/>
      <c r="F45" s="123"/>
      <c r="G45" s="227"/>
      <c r="H45" s="227"/>
      <c r="I45" s="123"/>
      <c r="J45" s="227"/>
      <c r="K45" s="692"/>
      <c r="L45" s="227"/>
      <c r="M45" s="119"/>
      <c r="N45" s="119"/>
      <c r="O45" s="119"/>
      <c r="P45" s="119"/>
      <c r="Q45" s="119"/>
      <c r="R45" s="119"/>
      <c r="S45" s="229"/>
      <c r="T45" s="229"/>
      <c r="U45" s="454"/>
      <c r="V45" s="536"/>
      <c r="W45" s="121"/>
      <c r="X45" s="522"/>
      <c r="Y45" s="522"/>
      <c r="Z45" s="522"/>
      <c r="AA45" s="522"/>
      <c r="AB45" s="522"/>
    </row>
    <row r="46" spans="1:28" x14ac:dyDescent="0.25">
      <c r="A46" s="210" t="s">
        <v>306</v>
      </c>
      <c r="B46" s="7" t="str">
        <f>IF(  AND(ISNUMBER(C46),OR(ISNUMBER(D46),D46="PG")),IF(IF(Capa!$B$6="B",0,Capa!$B$6)&gt;=C46,1,0),"")</f>
        <v/>
      </c>
      <c r="C46" s="6" t="str">
        <f t="shared" si="1"/>
        <v/>
      </c>
      <c r="D46" s="15"/>
      <c r="E46" s="395" t="s">
        <v>307</v>
      </c>
      <c r="F46" s="517"/>
      <c r="G46" s="532"/>
      <c r="H46" s="219"/>
      <c r="I46" s="23"/>
      <c r="J46" s="219"/>
      <c r="K46" s="528"/>
      <c r="L46" s="383">
        <f>IF(AND($B48=1,D48="PG"),IF(COUNTIFS($A$1:$A$235,"="&amp;$A46,$B$1:$B$235,"&gt;0",$D$1:$D$235,"&gt;0")&gt;0,
        (COUNTIFS($A$1:$A$235,"="&amp;$A46,$B$1:$B$235,"&gt;0",$D$1:$D$235,"&gt;0",F$1:F$235,"=S",I$1:I$235,"") +
         (COUNTIFS($A$1:$A$235,"="&amp;$A46,$B$1:$B$235,"&gt;0",$D$1:$D$235,"&gt;0",$F$1:$F$235,"=P",I$1:I$235,"")/2) +
         COUNTIFS($A$1:$A$235,"="&amp;$A46,$B$1:$B$235,"&gt;0",$D$1:$D$235,"&gt;0",I$1:I$235,"=S") +
         (COUNTIFS($A$1:$A$235,"="&amp;$A46,$B$1:$B$235,"&gt;0",$D$1:$D$235,"&gt;0",I$1:I$235,"=P")/2)
         )/COUNTIFS($A$1:$A$235,"="&amp;$A46,$B$1:$B$235,"&gt;0",$D$1:$D$235,"&gt;0"),1),"")</f>
        <v>0</v>
      </c>
      <c r="M46" s="380"/>
      <c r="N46" s="70"/>
      <c r="O46" s="68"/>
      <c r="P46" s="68"/>
      <c r="Q46" s="83">
        <f>IF(L46="","",MIN(IF(ISBLANK(Q48),0,Q48),IF(L46&gt;0.9,4,IF(L46&gt;0.5,3,IF(L46&gt;0.3,2,IF(OR(L46&gt;0,Q48&gt;0),1,0))))))</f>
        <v>0</v>
      </c>
      <c r="R46" s="70"/>
      <c r="S46" s="260"/>
      <c r="T46" s="260"/>
      <c r="U46" s="260"/>
      <c r="V46" s="537"/>
      <c r="W46" s="66"/>
      <c r="X46" s="579"/>
      <c r="Y46" s="579"/>
      <c r="Z46" s="579"/>
      <c r="AA46" s="579"/>
      <c r="AB46" s="579"/>
    </row>
    <row r="47" spans="1:28" ht="5.45" customHeight="1" x14ac:dyDescent="0.25">
      <c r="A47" s="210" t="s">
        <v>306</v>
      </c>
      <c r="B47" s="7" t="str">
        <f>IF(  AND(ISNUMBER(C47),OR(ISNUMBER(D47),D47="PG")),IF(IF(Capa!$B$6="B",0,Capa!$B$6)&gt;=C47,1,0),"")</f>
        <v/>
      </c>
      <c r="C47" s="6">
        <f t="shared" si="1"/>
        <v>0</v>
      </c>
      <c r="D47" s="18" t="s">
        <v>53</v>
      </c>
      <c r="E47" s="394"/>
      <c r="F47" s="516"/>
      <c r="G47" s="533"/>
      <c r="H47" s="239"/>
      <c r="I47" s="27"/>
      <c r="J47" s="239"/>
      <c r="K47" s="529"/>
      <c r="L47" s="242"/>
      <c r="M47" s="63"/>
      <c r="N47" s="63"/>
      <c r="O47" s="63"/>
      <c r="P47" s="63"/>
      <c r="Q47" s="63"/>
      <c r="R47" s="63"/>
      <c r="U47" s="287"/>
      <c r="V47" s="542"/>
      <c r="X47" s="522"/>
      <c r="Y47" s="522"/>
      <c r="Z47" s="522"/>
      <c r="AA47" s="522"/>
      <c r="AB47" s="522"/>
    </row>
    <row r="48" spans="1:28" ht="51" x14ac:dyDescent="0.25">
      <c r="A48" s="646" t="s">
        <v>306</v>
      </c>
      <c r="B48" s="7">
        <f>IF(  AND(ISNUMBER(C48),OR(ISNUMBER(D48),D48="PG")),IF(IF(Capa!$B$6="B",0,Capa!$B$6)&gt;=C48,1,0),"")</f>
        <v>1</v>
      </c>
      <c r="C48" s="6">
        <f t="shared" si="1"/>
        <v>0</v>
      </c>
      <c r="D48" s="647" t="s">
        <v>54</v>
      </c>
      <c r="E48" s="389" t="s">
        <v>308</v>
      </c>
      <c r="F48" s="513"/>
      <c r="G48" s="468"/>
      <c r="H48" s="241"/>
      <c r="I48" s="29"/>
      <c r="J48" s="239"/>
      <c r="K48" s="471"/>
      <c r="L48" s="697" t="str">
        <f>IF(OR(AND(NOT(ISBLANK(M48)),M48&lt;IF(Capa!$B$6&lt;&gt;"B",Capa!$B$6+1,1)),AND(NOT(ISBLANK(N48)),N48&lt;IF(Capa!$B$6&lt;&gt;"B",Capa!$B$6+1,1)),AND(NOT(ISBLANK(O48)),O48&lt;IF(Capa!$B$6&lt;&gt;"B",Capa!$B$6+1,1)),AND(NOT(ISBLANK(Q48)),Q48&lt;IF(Capa!$B$6&lt;&gt;"B",Capa!$B$6+1,1)),AND(NOT(ISBLANK(R48)),R48&lt;IF(Capa!$B$6&lt;&gt;"B",Capa!$B$6+1,1)),AND(NOT(ISBLANK(S48)),S48&lt;IF(Capa!$B$6&lt;&gt;"B",Capa!$B$6+1,1))),1,"")</f>
        <v/>
      </c>
      <c r="M48" s="81"/>
      <c r="N48" s="81"/>
      <c r="O48" s="81"/>
      <c r="P48" s="81"/>
      <c r="Q48" s="81"/>
      <c r="R48" s="81"/>
      <c r="S48" s="81"/>
      <c r="T48" s="81"/>
      <c r="U48" s="58"/>
      <c r="V48" s="464"/>
      <c r="W48" s="476"/>
      <c r="X48" s="666"/>
      <c r="Y48" s="522"/>
      <c r="Z48" s="522"/>
      <c r="AA48" s="522"/>
      <c r="AB48" s="522"/>
    </row>
    <row r="49" spans="1:28" ht="30" x14ac:dyDescent="0.25">
      <c r="A49" s="646" t="s">
        <v>306</v>
      </c>
      <c r="B49" s="7">
        <f>IF(  AND(ISNUMBER(C49),OR(ISNUMBER(D49),D49="PG")),IF(IF(Capa!$B$6="B",0,Capa!$B$6)&gt;=C49,1,0),"")</f>
        <v>1</v>
      </c>
      <c r="C49" s="6">
        <f t="shared" si="1"/>
        <v>0</v>
      </c>
      <c r="D49" s="647">
        <v>179</v>
      </c>
      <c r="E49" s="352" t="s">
        <v>309</v>
      </c>
      <c r="F49" s="513"/>
      <c r="G49" s="468"/>
      <c r="H49" s="241"/>
      <c r="I49" s="29"/>
      <c r="J49" s="425">
        <f t="shared" ref="J49:J56" si="10">LEN(K49)</f>
        <v>0</v>
      </c>
      <c r="K49" s="471"/>
      <c r="L49" s="697" t="str">
        <f t="shared" ref="L49:L56" si="11">IF(OR(I49="N",I49="P"),1,"")</f>
        <v/>
      </c>
      <c r="M49" s="719"/>
      <c r="N49" s="720"/>
      <c r="O49" s="720"/>
      <c r="P49" s="720"/>
      <c r="Q49" s="720"/>
      <c r="R49" s="720"/>
      <c r="S49" s="720"/>
      <c r="T49" s="721"/>
      <c r="U49" s="71"/>
      <c r="V49" s="464"/>
      <c r="W49" s="476"/>
      <c r="X49" s="522"/>
      <c r="Y49" s="522"/>
      <c r="Z49" s="522"/>
      <c r="AA49" s="522"/>
      <c r="AB49" s="522"/>
    </row>
    <row r="50" spans="1:28" ht="7.7" customHeight="1" x14ac:dyDescent="0.25">
      <c r="A50" s="646" t="s">
        <v>306</v>
      </c>
      <c r="B50" s="7" t="str">
        <f>IF(  AND(ISNUMBER(C50),OR(ISNUMBER(D50),D50="PG")),IF(IF(Capa!$B$6="B",0,Capa!$B$6)&gt;=C50,1,0),"")</f>
        <v/>
      </c>
      <c r="C50" s="6">
        <f t="shared" si="1"/>
        <v>2</v>
      </c>
      <c r="D50" s="647" t="s">
        <v>64</v>
      </c>
      <c r="E50" s="352"/>
      <c r="F50" s="513"/>
      <c r="G50" s="468"/>
      <c r="H50" s="241"/>
      <c r="I50" s="29"/>
      <c r="J50" s="425">
        <f t="shared" si="10"/>
        <v>0</v>
      </c>
      <c r="K50" s="471"/>
      <c r="L50" s="697" t="str">
        <f t="shared" si="11"/>
        <v/>
      </c>
      <c r="M50" s="719"/>
      <c r="N50" s="720"/>
      <c r="O50" s="720"/>
      <c r="P50" s="720"/>
      <c r="Q50" s="720"/>
      <c r="R50" s="720"/>
      <c r="S50" s="720"/>
      <c r="T50" s="721"/>
      <c r="U50" s="71"/>
      <c r="V50" s="464"/>
      <c r="W50" s="476"/>
      <c r="X50" s="522"/>
      <c r="Y50" s="522"/>
      <c r="Z50" s="522"/>
      <c r="AA50" s="522"/>
      <c r="AB50" s="522"/>
    </row>
    <row r="51" spans="1:28" ht="39.6" customHeight="1" x14ac:dyDescent="0.25">
      <c r="A51" s="646" t="s">
        <v>306</v>
      </c>
      <c r="B51" s="7">
        <f>IF(  AND(ISNUMBER(C51),OR(ISNUMBER(D51),D51="PG")),IF(IF(Capa!$B$6="B",0,Capa!$B$6)&gt;=C51,1,0),"")</f>
        <v>0</v>
      </c>
      <c r="C51" s="6">
        <f t="shared" si="1"/>
        <v>2</v>
      </c>
      <c r="D51" s="647">
        <v>180</v>
      </c>
      <c r="E51" s="352" t="s">
        <v>310</v>
      </c>
      <c r="F51" s="513"/>
      <c r="G51" s="468"/>
      <c r="H51" s="241"/>
      <c r="I51" s="29"/>
      <c r="J51" s="425">
        <f t="shared" si="10"/>
        <v>0</v>
      </c>
      <c r="K51" s="471"/>
      <c r="L51" s="697" t="str">
        <f t="shared" si="11"/>
        <v/>
      </c>
      <c r="M51" s="719"/>
      <c r="N51" s="720"/>
      <c r="O51" s="720"/>
      <c r="P51" s="720"/>
      <c r="Q51" s="720"/>
      <c r="R51" s="720"/>
      <c r="S51" s="720"/>
      <c r="T51" s="721"/>
      <c r="U51" s="71"/>
      <c r="V51" s="464"/>
      <c r="W51" s="476"/>
      <c r="X51" s="522"/>
      <c r="Y51" s="522"/>
      <c r="Z51" s="522"/>
      <c r="AA51" s="522"/>
      <c r="AB51" s="522"/>
    </row>
    <row r="52" spans="1:28" ht="60" customHeight="1" x14ac:dyDescent="0.25">
      <c r="A52" s="646" t="s">
        <v>306</v>
      </c>
      <c r="B52" s="7">
        <f>IF(  AND(ISNUMBER(C52),OR(ISNUMBER(D52),D52="PG")),IF(IF(Capa!$B$6="B",0,Capa!$B$6)&gt;=C52,1,0),"")</f>
        <v>0</v>
      </c>
      <c r="C52" s="6">
        <f t="shared" si="1"/>
        <v>2</v>
      </c>
      <c r="D52" s="647">
        <v>181</v>
      </c>
      <c r="E52" s="352" t="s">
        <v>311</v>
      </c>
      <c r="F52" s="513"/>
      <c r="G52" s="468"/>
      <c r="H52" s="241"/>
      <c r="I52" s="29"/>
      <c r="J52" s="425">
        <f t="shared" si="10"/>
        <v>0</v>
      </c>
      <c r="K52" s="471"/>
      <c r="L52" s="697" t="str">
        <f t="shared" si="11"/>
        <v/>
      </c>
      <c r="M52" s="719"/>
      <c r="N52" s="720"/>
      <c r="O52" s="720"/>
      <c r="P52" s="720"/>
      <c r="Q52" s="720"/>
      <c r="R52" s="720"/>
      <c r="S52" s="720"/>
      <c r="T52" s="721"/>
      <c r="U52" s="71"/>
      <c r="V52" s="464"/>
      <c r="W52" s="476"/>
      <c r="X52" s="522"/>
      <c r="Y52" s="522"/>
      <c r="Z52" s="522"/>
      <c r="AA52" s="522"/>
      <c r="AB52" s="522"/>
    </row>
    <row r="53" spans="1:28" ht="75" x14ac:dyDescent="0.25">
      <c r="A53" s="646" t="s">
        <v>306</v>
      </c>
      <c r="B53" s="7">
        <f>IF(  AND(ISNUMBER(C53),OR(ISNUMBER(D53),D53="PG")),IF(IF(Capa!$B$6="B",0,Capa!$B$6)&gt;=C53,1,0),"")</f>
        <v>0</v>
      </c>
      <c r="C53" s="6">
        <f t="shared" si="1"/>
        <v>2</v>
      </c>
      <c r="D53" s="647">
        <v>182</v>
      </c>
      <c r="E53" s="352" t="s">
        <v>312</v>
      </c>
      <c r="F53" s="513"/>
      <c r="G53" s="468"/>
      <c r="H53" s="241"/>
      <c r="I53" s="29"/>
      <c r="J53" s="425">
        <f t="shared" si="10"/>
        <v>0</v>
      </c>
      <c r="K53" s="471"/>
      <c r="L53" s="697" t="str">
        <f t="shared" si="11"/>
        <v/>
      </c>
      <c r="M53" s="719"/>
      <c r="N53" s="720"/>
      <c r="O53" s="720"/>
      <c r="P53" s="720"/>
      <c r="Q53" s="720"/>
      <c r="R53" s="720"/>
      <c r="S53" s="720"/>
      <c r="T53" s="721"/>
      <c r="U53" s="71"/>
      <c r="V53" s="464"/>
      <c r="W53" s="476"/>
      <c r="X53" s="522"/>
      <c r="Y53" s="522"/>
      <c r="Z53" s="522"/>
      <c r="AA53" s="522"/>
      <c r="AB53" s="522"/>
    </row>
    <row r="54" spans="1:28" ht="8.4499999999999993" customHeight="1" x14ac:dyDescent="0.25">
      <c r="A54" s="646" t="s">
        <v>306</v>
      </c>
      <c r="B54" s="7" t="str">
        <f>IF(  AND(ISNUMBER(C54),OR(ISNUMBER(D54),D54="PG")),IF(IF(Capa!$B$6="B",0,Capa!$B$6)&gt;=C54,1,0),"")</f>
        <v/>
      </c>
      <c r="C54" s="6">
        <f t="shared" si="1"/>
        <v>3</v>
      </c>
      <c r="D54" s="647" t="s">
        <v>70</v>
      </c>
      <c r="E54" s="352"/>
      <c r="F54" s="513"/>
      <c r="G54" s="468"/>
      <c r="H54" s="241"/>
      <c r="I54" s="29"/>
      <c r="J54" s="425">
        <f t="shared" si="10"/>
        <v>0</v>
      </c>
      <c r="K54" s="471"/>
      <c r="L54" s="697" t="str">
        <f t="shared" si="11"/>
        <v/>
      </c>
      <c r="M54" s="719"/>
      <c r="N54" s="720"/>
      <c r="O54" s="720"/>
      <c r="P54" s="720"/>
      <c r="Q54" s="720"/>
      <c r="R54" s="720"/>
      <c r="S54" s="720"/>
      <c r="T54" s="721"/>
      <c r="U54" s="71"/>
      <c r="V54" s="464"/>
      <c r="W54" s="476"/>
      <c r="X54" s="522"/>
      <c r="Y54" s="522"/>
      <c r="Z54" s="522"/>
      <c r="AA54" s="522"/>
      <c r="AB54" s="522"/>
    </row>
    <row r="55" spans="1:28" ht="60" x14ac:dyDescent="0.25">
      <c r="A55" s="646" t="s">
        <v>306</v>
      </c>
      <c r="B55" s="7">
        <f>IF(  AND(ISNUMBER(C55),OR(ISNUMBER(D55),D55="PG")),IF(IF(Capa!$B$6="B",0,Capa!$B$6)&gt;=C55,1,0),"")</f>
        <v>0</v>
      </c>
      <c r="C55" s="6">
        <f t="shared" si="1"/>
        <v>3</v>
      </c>
      <c r="D55" s="649">
        <v>183</v>
      </c>
      <c r="E55" s="390" t="s">
        <v>313</v>
      </c>
      <c r="F55" s="513"/>
      <c r="G55" s="468"/>
      <c r="H55" s="241"/>
      <c r="I55" s="29"/>
      <c r="J55" s="425">
        <f t="shared" si="10"/>
        <v>0</v>
      </c>
      <c r="K55" s="471"/>
      <c r="L55" s="697" t="str">
        <f t="shared" si="11"/>
        <v/>
      </c>
      <c r="M55" s="719"/>
      <c r="N55" s="720"/>
      <c r="O55" s="720"/>
      <c r="P55" s="720"/>
      <c r="Q55" s="720"/>
      <c r="R55" s="720"/>
      <c r="S55" s="720"/>
      <c r="T55" s="721"/>
      <c r="U55" s="71"/>
      <c r="V55" s="464"/>
      <c r="W55" s="477"/>
      <c r="X55" s="522"/>
      <c r="Y55" s="522"/>
      <c r="Z55" s="522"/>
      <c r="AA55" s="522"/>
      <c r="AB55" s="522"/>
    </row>
    <row r="56" spans="1:28" ht="45.6" customHeight="1" x14ac:dyDescent="0.25">
      <c r="A56" s="646" t="s">
        <v>306</v>
      </c>
      <c r="B56" s="7">
        <f>IF(  AND(ISNUMBER(C56),OR(ISNUMBER(D56),D56="PG")),IF(IF(Capa!$B$6="B",0,Capa!$B$6)&gt;=C56,1,0),"")</f>
        <v>0</v>
      </c>
      <c r="C56" s="6">
        <f t="shared" si="1"/>
        <v>3</v>
      </c>
      <c r="D56" s="649">
        <v>184</v>
      </c>
      <c r="E56" s="409" t="s">
        <v>314</v>
      </c>
      <c r="F56" s="513"/>
      <c r="G56" s="468"/>
      <c r="H56" s="241"/>
      <c r="I56" s="29"/>
      <c r="J56" s="425">
        <f t="shared" si="10"/>
        <v>0</v>
      </c>
      <c r="K56" s="471"/>
      <c r="L56" s="697" t="str">
        <f t="shared" si="11"/>
        <v/>
      </c>
      <c r="M56" s="719"/>
      <c r="N56" s="720"/>
      <c r="O56" s="720"/>
      <c r="P56" s="720"/>
      <c r="Q56" s="720"/>
      <c r="R56" s="720"/>
      <c r="S56" s="720"/>
      <c r="T56" s="721"/>
      <c r="U56" s="71"/>
      <c r="V56" s="464"/>
      <c r="W56" s="477"/>
      <c r="X56" s="522"/>
      <c r="Y56" s="522"/>
      <c r="Z56" s="522"/>
      <c r="AA56" s="522"/>
      <c r="AB56" s="522"/>
    </row>
    <row r="57" spans="1:28" ht="5.85" customHeight="1" x14ac:dyDescent="0.25">
      <c r="B57" s="7" t="str">
        <f>IF(  AND(ISNUMBER(C57),OR(ISNUMBER(D57),D57="PG")),IF(IF(Capa!$B$6="B",0,Capa!$B$6)&gt;=C57,1,0),"")</f>
        <v/>
      </c>
      <c r="C57" s="6" t="str">
        <f t="shared" si="1"/>
        <v/>
      </c>
      <c r="D57" s="225"/>
      <c r="E57" s="226"/>
      <c r="F57" s="123"/>
      <c r="G57" s="227"/>
      <c r="H57" s="227"/>
      <c r="I57" s="123"/>
      <c r="J57" s="227"/>
      <c r="K57" s="692"/>
      <c r="L57" s="227"/>
      <c r="M57" s="119"/>
      <c r="N57" s="119"/>
      <c r="O57" s="119"/>
      <c r="P57" s="119"/>
      <c r="Q57" s="119"/>
      <c r="R57" s="119"/>
      <c r="S57" s="229"/>
      <c r="T57" s="229"/>
      <c r="U57" s="454"/>
      <c r="V57" s="536"/>
      <c r="W57" s="121"/>
      <c r="X57" s="522"/>
      <c r="Y57" s="522"/>
      <c r="Z57" s="522"/>
      <c r="AA57" s="522"/>
      <c r="AB57" s="522"/>
    </row>
    <row r="58" spans="1:28" x14ac:dyDescent="0.25">
      <c r="A58" s="210" t="s">
        <v>315</v>
      </c>
      <c r="B58" s="7" t="str">
        <f>IF(  AND(ISNUMBER(C58),OR(ISNUMBER(D58),D58="PG")),IF(IF(Capa!$B$6="B",0,Capa!$B$6)&gt;=C58,1,0),"")</f>
        <v/>
      </c>
      <c r="C58" s="6" t="str">
        <f t="shared" si="1"/>
        <v/>
      </c>
      <c r="D58" s="15"/>
      <c r="E58" s="395" t="s">
        <v>316</v>
      </c>
      <c r="F58" s="517"/>
      <c r="G58" s="532"/>
      <c r="H58" s="219"/>
      <c r="I58" s="23"/>
      <c r="J58" s="219"/>
      <c r="K58" s="528"/>
      <c r="L58" s="383">
        <f>IF(AND($B60=1,D60="PG"),IF(COUNTIFS($A$1:$A$235,"="&amp;$A58,$B$1:$B$235,"&gt;0",$D$1:$D$235,"&gt;0")&gt;0,
        (COUNTIFS($A$1:$A$235,"="&amp;$A58,$B$1:$B$235,"&gt;0",$D$1:$D$235,"&gt;0",F$1:F$235,"=S",I$1:I$235,"") +
         (COUNTIFS($A$1:$A$235,"="&amp;$A58,$B$1:$B$235,"&gt;0",$D$1:$D$235,"&gt;0",$F$1:$F$235,"=P",I$1:I$235,"")/2) +
         COUNTIFS($A$1:$A$235,"="&amp;$A58,$B$1:$B$235,"&gt;0",$D$1:$D$235,"&gt;0",I$1:I$235,"=S") +
         (COUNTIFS($A$1:$A$235,"="&amp;$A58,$B$1:$B$235,"&gt;0",$D$1:$D$235,"&gt;0",I$1:I$235,"=P")/2)
         )/COUNTIFS($A$1:$A$235,"="&amp;$A58,$B$1:$B$235,"&gt;0",$D$1:$D$235,"&gt;0"),1),"")</f>
        <v>0</v>
      </c>
      <c r="M58" s="380"/>
      <c r="N58" s="70"/>
      <c r="O58" s="68"/>
      <c r="P58" s="68"/>
      <c r="Q58" s="83">
        <f>IF(L58="","",MIN(IF(ISBLANK(Q60),0,Q60),IF(L58&gt;0.9,4,IF(L58&gt;0.5,3,IF(L58&gt;0.3,2,IF(OR(L58&gt;0,Q60&gt;0),1,0))))))</f>
        <v>0</v>
      </c>
      <c r="R58" s="70"/>
      <c r="S58" s="260"/>
      <c r="T58" s="260"/>
      <c r="U58" s="260"/>
      <c r="V58" s="537"/>
      <c r="W58" s="66"/>
      <c r="X58" s="579"/>
      <c r="Y58" s="579"/>
      <c r="Z58" s="579"/>
      <c r="AA58" s="579"/>
      <c r="AB58" s="579"/>
    </row>
    <row r="59" spans="1:28" ht="7.7" customHeight="1" x14ac:dyDescent="0.25">
      <c r="A59" s="210" t="s">
        <v>315</v>
      </c>
      <c r="B59" s="7" t="str">
        <f>IF(  AND(ISNUMBER(C59),OR(ISNUMBER(D59),D59="PG")),IF(IF(Capa!$B$6="B",0,Capa!$B$6)&gt;=C59,1,0),"")</f>
        <v/>
      </c>
      <c r="C59" s="6">
        <f t="shared" si="1"/>
        <v>0</v>
      </c>
      <c r="D59" s="18" t="s">
        <v>53</v>
      </c>
      <c r="E59" s="394"/>
      <c r="F59" s="516"/>
      <c r="G59" s="533"/>
      <c r="H59" s="239"/>
      <c r="I59" s="26"/>
      <c r="J59" s="239"/>
      <c r="K59" s="529"/>
      <c r="L59" s="242"/>
      <c r="M59" s="59"/>
      <c r="N59" s="59"/>
      <c r="O59" s="59"/>
      <c r="P59" s="59"/>
      <c r="Q59" s="59"/>
      <c r="R59" s="59"/>
      <c r="S59" s="262"/>
      <c r="T59" s="262"/>
      <c r="U59" s="355"/>
      <c r="V59" s="538"/>
      <c r="W59" s="478"/>
      <c r="X59" s="522"/>
      <c r="Y59" s="522"/>
      <c r="Z59" s="522"/>
      <c r="AA59" s="522"/>
      <c r="AB59" s="522"/>
    </row>
    <row r="60" spans="1:28" ht="38.25" x14ac:dyDescent="0.25">
      <c r="A60" s="646" t="s">
        <v>315</v>
      </c>
      <c r="B60" s="7">
        <f>IF(  AND(ISNUMBER(C60),OR(ISNUMBER(D60),D60="PG")),IF(IF(Capa!$B$6="B",0,Capa!$B$6)&gt;=C60,1,0),"")</f>
        <v>1</v>
      </c>
      <c r="C60" s="6">
        <f t="shared" si="1"/>
        <v>0</v>
      </c>
      <c r="D60" s="647" t="s">
        <v>54</v>
      </c>
      <c r="E60" s="389" t="s">
        <v>317</v>
      </c>
      <c r="F60" s="513"/>
      <c r="G60" s="468"/>
      <c r="H60" s="241"/>
      <c r="I60" s="29"/>
      <c r="J60" s="239"/>
      <c r="K60" s="471"/>
      <c r="L60" s="697" t="str">
        <f>IF(OR(AND(NOT(ISBLANK(M60)),M60&lt;IF(Capa!$B$6&lt;&gt;"B",Capa!$B$6+1,1)),AND(NOT(ISBLANK(N60)),N60&lt;IF(Capa!$B$6&lt;&gt;"B",Capa!$B$6+1,1)),AND(NOT(ISBLANK(O60)),O60&lt;IF(Capa!$B$6&lt;&gt;"B",Capa!$B$6+1,1)),AND(NOT(ISBLANK(Q60)),Q60&lt;IF(Capa!$B$6&lt;&gt;"B",Capa!$B$6+1,1)),AND(NOT(ISBLANK(R60)),R60&lt;IF(Capa!$B$6&lt;&gt;"B",Capa!$B$6+1,1)),AND(NOT(ISBLANK(S60)),S60&lt;IF(Capa!$B$6&lt;&gt;"B",Capa!$B$6+1,1))),1,"")</f>
        <v/>
      </c>
      <c r="M60" s="81"/>
      <c r="N60" s="81"/>
      <c r="O60" s="81"/>
      <c r="P60" s="81"/>
      <c r="Q60" s="81"/>
      <c r="R60" s="81"/>
      <c r="S60" s="81"/>
      <c r="T60" s="81"/>
      <c r="U60" s="58"/>
      <c r="V60" s="464"/>
      <c r="W60" s="476"/>
      <c r="X60" s="666"/>
      <c r="Y60" s="522"/>
      <c r="Z60" s="522"/>
      <c r="AA60" s="522"/>
      <c r="AB60" s="522"/>
    </row>
    <row r="61" spans="1:28" ht="31.7" customHeight="1" x14ac:dyDescent="0.25">
      <c r="A61" s="646" t="s">
        <v>315</v>
      </c>
      <c r="B61" s="7">
        <f>IF(  AND(ISNUMBER(C61),OR(ISNUMBER(D61),D61="PG")),IF(IF(Capa!$B$6="B",0,Capa!$B$6)&gt;=C61,1,0),"")</f>
        <v>1</v>
      </c>
      <c r="C61" s="6">
        <f t="shared" si="1"/>
        <v>0</v>
      </c>
      <c r="D61" s="647">
        <v>185</v>
      </c>
      <c r="E61" s="352" t="s">
        <v>318</v>
      </c>
      <c r="F61" s="513"/>
      <c r="G61" s="468"/>
      <c r="H61" s="241"/>
      <c r="I61" s="29"/>
      <c r="J61" s="425">
        <f t="shared" ref="J61:J69" si="12">LEN(K61)</f>
        <v>0</v>
      </c>
      <c r="K61" s="471"/>
      <c r="L61" s="697" t="str">
        <f t="shared" ref="L61:L69" si="13">IF(OR(I61="N",I61="P"),1,"")</f>
        <v/>
      </c>
      <c r="M61" s="719"/>
      <c r="N61" s="720"/>
      <c r="O61" s="720"/>
      <c r="P61" s="720"/>
      <c r="Q61" s="720"/>
      <c r="R61" s="720"/>
      <c r="S61" s="720"/>
      <c r="T61" s="721"/>
      <c r="U61" s="71"/>
      <c r="V61" s="464"/>
      <c r="W61" s="478"/>
      <c r="X61" s="522"/>
      <c r="Y61" s="522"/>
      <c r="Z61" s="522"/>
      <c r="AA61" s="522"/>
      <c r="AB61" s="522"/>
    </row>
    <row r="62" spans="1:28" ht="6.6" customHeight="1" x14ac:dyDescent="0.25">
      <c r="A62" s="646" t="s">
        <v>315</v>
      </c>
      <c r="B62" s="7" t="str">
        <f>IF(  AND(ISNUMBER(C62),OR(ISNUMBER(D62),D62="PG")),IF(IF(Capa!$B$6="B",0,Capa!$B$6)&gt;=C62,1,0),"")</f>
        <v/>
      </c>
      <c r="C62" s="6">
        <f t="shared" si="1"/>
        <v>1</v>
      </c>
      <c r="D62" s="652" t="s">
        <v>62</v>
      </c>
      <c r="E62" s="352"/>
      <c r="F62" s="513"/>
      <c r="G62" s="468"/>
      <c r="H62" s="241"/>
      <c r="I62" s="29"/>
      <c r="J62" s="425">
        <f t="shared" si="12"/>
        <v>0</v>
      </c>
      <c r="K62" s="471"/>
      <c r="L62" s="697" t="str">
        <f t="shared" si="13"/>
        <v/>
      </c>
      <c r="M62" s="719"/>
      <c r="N62" s="720"/>
      <c r="O62" s="720"/>
      <c r="P62" s="720"/>
      <c r="Q62" s="720"/>
      <c r="R62" s="720"/>
      <c r="S62" s="720"/>
      <c r="T62" s="721"/>
      <c r="U62" s="71"/>
      <c r="V62" s="464"/>
      <c r="X62" s="522"/>
      <c r="Y62" s="522"/>
      <c r="Z62" s="522"/>
      <c r="AA62" s="522"/>
      <c r="AB62" s="522"/>
    </row>
    <row r="63" spans="1:28" ht="31.7" customHeight="1" x14ac:dyDescent="0.25">
      <c r="A63" s="646" t="s">
        <v>315</v>
      </c>
      <c r="B63" s="7">
        <f>IF(  AND(ISNUMBER(C63),OR(ISNUMBER(D63),D63="PG")),IF(IF(Capa!$B$6="B",0,Capa!$B$6)&gt;=C63,1,0),"")</f>
        <v>0</v>
      </c>
      <c r="C63" s="6">
        <f t="shared" si="1"/>
        <v>1</v>
      </c>
      <c r="D63" s="647">
        <v>186</v>
      </c>
      <c r="E63" s="352" t="s">
        <v>319</v>
      </c>
      <c r="F63" s="513"/>
      <c r="G63" s="468"/>
      <c r="H63" s="241"/>
      <c r="I63" s="29"/>
      <c r="J63" s="425">
        <f t="shared" si="12"/>
        <v>0</v>
      </c>
      <c r="K63" s="471"/>
      <c r="L63" s="697" t="str">
        <f t="shared" si="13"/>
        <v/>
      </c>
      <c r="M63" s="719"/>
      <c r="N63" s="720"/>
      <c r="O63" s="720"/>
      <c r="P63" s="720"/>
      <c r="Q63" s="720"/>
      <c r="R63" s="720"/>
      <c r="S63" s="720"/>
      <c r="T63" s="721"/>
      <c r="U63" s="71"/>
      <c r="V63" s="464"/>
      <c r="W63" s="478"/>
      <c r="X63" s="522"/>
      <c r="Y63" s="522"/>
      <c r="Z63" s="522"/>
      <c r="AA63" s="522"/>
      <c r="AB63" s="522"/>
    </row>
    <row r="64" spans="1:28" ht="9" customHeight="1" x14ac:dyDescent="0.25">
      <c r="A64" s="646" t="s">
        <v>315</v>
      </c>
      <c r="B64" s="7" t="str">
        <f>IF(  AND(ISNUMBER(C64),OR(ISNUMBER(D64),D64="PG")),IF(IF(Capa!$B$6="B",0,Capa!$B$6)&gt;=C64,1,0),"")</f>
        <v/>
      </c>
      <c r="C64" s="6">
        <f t="shared" si="1"/>
        <v>2</v>
      </c>
      <c r="D64" s="647" t="s">
        <v>64</v>
      </c>
      <c r="E64" s="352"/>
      <c r="F64" s="513"/>
      <c r="G64" s="468"/>
      <c r="H64" s="241"/>
      <c r="I64" s="29"/>
      <c r="J64" s="425">
        <f t="shared" si="12"/>
        <v>0</v>
      </c>
      <c r="K64" s="471"/>
      <c r="L64" s="697" t="str">
        <f t="shared" si="13"/>
        <v/>
      </c>
      <c r="M64" s="719"/>
      <c r="N64" s="720"/>
      <c r="O64" s="720"/>
      <c r="P64" s="720"/>
      <c r="Q64" s="720"/>
      <c r="R64" s="720"/>
      <c r="S64" s="720"/>
      <c r="T64" s="721"/>
      <c r="U64" s="71"/>
      <c r="V64" s="464"/>
      <c r="X64" s="522"/>
      <c r="Y64" s="522"/>
      <c r="Z64" s="522"/>
      <c r="AA64" s="522"/>
      <c r="AB64" s="522"/>
    </row>
    <row r="65" spans="1:28" ht="45" x14ac:dyDescent="0.25">
      <c r="A65" s="646" t="s">
        <v>315</v>
      </c>
      <c r="B65" s="7">
        <f>IF(  AND(ISNUMBER(C65),OR(ISNUMBER(D65),D65="PG")),IF(IF(Capa!$B$6="B",0,Capa!$B$6)&gt;=C65,1,0),"")</f>
        <v>0</v>
      </c>
      <c r="C65" s="6">
        <f t="shared" si="1"/>
        <v>2</v>
      </c>
      <c r="D65" s="647">
        <v>187</v>
      </c>
      <c r="E65" s="352" t="s">
        <v>320</v>
      </c>
      <c r="F65" s="513"/>
      <c r="G65" s="468"/>
      <c r="H65" s="241"/>
      <c r="I65" s="29"/>
      <c r="J65" s="425">
        <f t="shared" si="12"/>
        <v>0</v>
      </c>
      <c r="K65" s="471"/>
      <c r="L65" s="697" t="str">
        <f t="shared" si="13"/>
        <v/>
      </c>
      <c r="M65" s="719"/>
      <c r="N65" s="720"/>
      <c r="O65" s="720"/>
      <c r="P65" s="720"/>
      <c r="Q65" s="720"/>
      <c r="R65" s="720"/>
      <c r="S65" s="720"/>
      <c r="T65" s="721"/>
      <c r="U65" s="71"/>
      <c r="V65" s="464"/>
      <c r="W65" s="476"/>
      <c r="X65" s="522"/>
      <c r="Y65" s="522"/>
      <c r="Z65" s="522"/>
      <c r="AA65" s="522"/>
      <c r="AB65" s="522"/>
    </row>
    <row r="66" spans="1:28" ht="30" x14ac:dyDescent="0.25">
      <c r="A66" s="646" t="s">
        <v>315</v>
      </c>
      <c r="B66" s="7">
        <f>IF(  AND(ISNUMBER(C66),OR(ISNUMBER(D66),D66="PG")),IF(IF(Capa!$B$6="B",0,Capa!$B$6)&gt;=C66,1,0),"")</f>
        <v>0</v>
      </c>
      <c r="C66" s="6">
        <f t="shared" si="1"/>
        <v>2</v>
      </c>
      <c r="D66" s="647">
        <v>188</v>
      </c>
      <c r="E66" s="352" t="s">
        <v>321</v>
      </c>
      <c r="F66" s="513"/>
      <c r="G66" s="468"/>
      <c r="H66" s="241"/>
      <c r="I66" s="29"/>
      <c r="J66" s="425">
        <f t="shared" si="12"/>
        <v>0</v>
      </c>
      <c r="K66" s="471"/>
      <c r="L66" s="697" t="str">
        <f t="shared" si="13"/>
        <v/>
      </c>
      <c r="M66" s="719"/>
      <c r="N66" s="720"/>
      <c r="O66" s="720"/>
      <c r="P66" s="720"/>
      <c r="Q66" s="720"/>
      <c r="R66" s="720"/>
      <c r="S66" s="720"/>
      <c r="T66" s="721"/>
      <c r="U66" s="71"/>
      <c r="V66" s="464"/>
      <c r="W66" s="476"/>
      <c r="X66" s="522"/>
      <c r="Y66" s="522"/>
      <c r="Z66" s="522"/>
      <c r="AA66" s="522"/>
      <c r="AB66" s="522"/>
    </row>
    <row r="67" spans="1:28" ht="9" customHeight="1" x14ac:dyDescent="0.25">
      <c r="A67" s="646" t="s">
        <v>315</v>
      </c>
      <c r="B67" s="7" t="str">
        <f>IF(  AND(ISNUMBER(C67),OR(ISNUMBER(D67),D67="PG")),IF(IF(Capa!$B$6="B",0,Capa!$B$6)&gt;=C67,1,0),"")</f>
        <v/>
      </c>
      <c r="C67" s="6">
        <f t="shared" si="1"/>
        <v>3</v>
      </c>
      <c r="D67" s="647" t="s">
        <v>70</v>
      </c>
      <c r="E67" s="352"/>
      <c r="F67" s="513"/>
      <c r="G67" s="468"/>
      <c r="H67" s="241"/>
      <c r="I67" s="29"/>
      <c r="J67" s="425">
        <f t="shared" si="12"/>
        <v>0</v>
      </c>
      <c r="K67" s="471"/>
      <c r="L67" s="697" t="str">
        <f t="shared" si="13"/>
        <v/>
      </c>
      <c r="M67" s="719"/>
      <c r="N67" s="720"/>
      <c r="O67" s="720"/>
      <c r="P67" s="720"/>
      <c r="Q67" s="720"/>
      <c r="R67" s="720"/>
      <c r="S67" s="720"/>
      <c r="T67" s="721"/>
      <c r="U67" s="71"/>
      <c r="V67" s="464"/>
      <c r="W67" s="476"/>
      <c r="X67" s="522"/>
      <c r="Y67" s="522"/>
      <c r="Z67" s="522"/>
      <c r="AA67" s="522"/>
      <c r="AB67" s="522"/>
    </row>
    <row r="68" spans="1:28" ht="48" customHeight="1" x14ac:dyDescent="0.25">
      <c r="A68" s="646" t="s">
        <v>315</v>
      </c>
      <c r="B68" s="7">
        <f>IF(  AND(ISNUMBER(C68),OR(ISNUMBER(D68),D68="PG")),IF(IF(Capa!$B$6="B",0,Capa!$B$6)&gt;=C68,1,0),"")</f>
        <v>0</v>
      </c>
      <c r="C68" s="6">
        <f t="shared" si="1"/>
        <v>3</v>
      </c>
      <c r="D68" s="647">
        <v>189</v>
      </c>
      <c r="E68" s="352" t="s">
        <v>322</v>
      </c>
      <c r="F68" s="513"/>
      <c r="G68" s="468"/>
      <c r="H68" s="241"/>
      <c r="I68" s="29"/>
      <c r="J68" s="425">
        <f t="shared" si="12"/>
        <v>0</v>
      </c>
      <c r="K68" s="471"/>
      <c r="L68" s="697" t="str">
        <f t="shared" si="13"/>
        <v/>
      </c>
      <c r="M68" s="719"/>
      <c r="N68" s="720"/>
      <c r="O68" s="720"/>
      <c r="P68" s="720"/>
      <c r="Q68" s="720"/>
      <c r="R68" s="720"/>
      <c r="S68" s="720"/>
      <c r="T68" s="721"/>
      <c r="U68" s="71"/>
      <c r="V68" s="464"/>
      <c r="W68" s="476"/>
      <c r="X68" s="522"/>
      <c r="Y68" s="522"/>
      <c r="Z68" s="522"/>
      <c r="AA68" s="522"/>
      <c r="AB68" s="522"/>
    </row>
    <row r="69" spans="1:28" ht="30" x14ac:dyDescent="0.25">
      <c r="A69" s="646" t="s">
        <v>315</v>
      </c>
      <c r="B69" s="7">
        <f>IF(  AND(ISNUMBER(C69),OR(ISNUMBER(D69),D69="PG")),IF(IF(Capa!$B$6="B",0,Capa!$B$6)&gt;=C69,1,0),"")</f>
        <v>0</v>
      </c>
      <c r="C69" s="6">
        <f t="shared" si="1"/>
        <v>3</v>
      </c>
      <c r="D69" s="647">
        <v>190</v>
      </c>
      <c r="E69" s="411" t="s">
        <v>323</v>
      </c>
      <c r="F69" s="513"/>
      <c r="G69" s="468"/>
      <c r="H69" s="241"/>
      <c r="I69" s="29"/>
      <c r="J69" s="425">
        <f t="shared" si="12"/>
        <v>0</v>
      </c>
      <c r="K69" s="471"/>
      <c r="L69" s="697" t="str">
        <f t="shared" si="13"/>
        <v/>
      </c>
      <c r="M69" s="719"/>
      <c r="N69" s="720"/>
      <c r="O69" s="720"/>
      <c r="P69" s="720"/>
      <c r="Q69" s="720"/>
      <c r="R69" s="720"/>
      <c r="S69" s="720"/>
      <c r="T69" s="721"/>
      <c r="U69" s="71"/>
      <c r="V69" s="464"/>
      <c r="W69" s="476"/>
      <c r="X69" s="522"/>
      <c r="Y69" s="522"/>
      <c r="Z69" s="522"/>
      <c r="AA69" s="522"/>
      <c r="AB69" s="522"/>
    </row>
    <row r="70" spans="1:28" ht="5.85" customHeight="1" x14ac:dyDescent="0.25">
      <c r="B70" s="7" t="str">
        <f>IF(  AND(ISNUMBER(C70),OR(ISNUMBER(D70),D70="PG")),IF(IF(Capa!$B$6="B",0,Capa!$B$6)&gt;=C70,1,0),"")</f>
        <v/>
      </c>
      <c r="C70" s="6" t="str">
        <f t="shared" si="1"/>
        <v/>
      </c>
      <c r="D70" s="225"/>
      <c r="E70" s="226"/>
      <c r="F70" s="123"/>
      <c r="G70" s="227"/>
      <c r="H70" s="227"/>
      <c r="I70" s="123"/>
      <c r="J70" s="227"/>
      <c r="K70" s="692"/>
      <c r="L70" s="227"/>
      <c r="M70" s="119"/>
      <c r="N70" s="119"/>
      <c r="O70" s="119"/>
      <c r="P70" s="119"/>
      <c r="Q70" s="119"/>
      <c r="R70" s="119"/>
      <c r="S70" s="229"/>
      <c r="T70" s="229"/>
      <c r="U70" s="454"/>
      <c r="V70" s="536"/>
      <c r="W70" s="121"/>
      <c r="X70" s="522"/>
      <c r="Y70" s="522"/>
      <c r="Z70" s="522"/>
      <c r="AA70" s="522"/>
      <c r="AB70" s="522"/>
    </row>
    <row r="71" spans="1:28" x14ac:dyDescent="0.25">
      <c r="A71" s="210" t="s">
        <v>324</v>
      </c>
      <c r="B71" s="7" t="str">
        <f>IF(  AND(ISNUMBER(C71),OR(ISNUMBER(D71),D71="PG")),IF(IF(Capa!$B$6="B",0,Capa!$B$6)&gt;=C71,1,0),"")</f>
        <v/>
      </c>
      <c r="C71" s="6" t="str">
        <f t="shared" si="1"/>
        <v/>
      </c>
      <c r="D71" s="15"/>
      <c r="E71" s="395" t="s">
        <v>325</v>
      </c>
      <c r="F71" s="517"/>
      <c r="G71" s="532"/>
      <c r="H71" s="219"/>
      <c r="I71" s="23"/>
      <c r="J71" s="219"/>
      <c r="K71" s="528"/>
      <c r="L71" s="383" t="str">
        <f>IF(AND($B73=1,D73="PG"),IF(COUNTIFS($A$1:$A$235,"="&amp;$A71,$B$1:$B$235,"&gt;0",$D$1:$D$235,"&gt;0")&gt;0,
        (COUNTIFS($A$1:$A$235,"="&amp;$A71,$B$1:$B$235,"&gt;0",$D$1:$D$235,"&gt;0",F$1:F$235,"=S",I$1:I$235,"") +
         (COUNTIFS($A$1:$A$235,"="&amp;$A71,$B$1:$B$235,"&gt;0",$D$1:$D$235,"&gt;0",$F$1:$F$235,"=P",I$1:I$235,"")/2) +
         COUNTIFS($A$1:$A$235,"="&amp;$A71,$B$1:$B$235,"&gt;0",$D$1:$D$235,"&gt;0",I$1:I$235,"=S") +
         (COUNTIFS($A$1:$A$235,"="&amp;$A71,$B$1:$B$235,"&gt;0",$D$1:$D$235,"&gt;0",I$1:I$235,"=P")/2)
         )/COUNTIFS($A$1:$A$235,"="&amp;$A71,$B$1:$B$235,"&gt;0",$D$1:$D$235,"&gt;0"),1),"")</f>
        <v/>
      </c>
      <c r="M71" s="380"/>
      <c r="N71" s="70"/>
      <c r="O71" s="68"/>
      <c r="P71" s="68"/>
      <c r="Q71" s="83" t="str">
        <f>IF(L71="","",MIN(IF(ISBLANK(Q73),0,Q73),IF(L71&gt;0.9,4,IF(L71&gt;0.5,3,IF(L71&gt;0.3,2,IF(OR(L71&gt;0,Q73&gt;0),1,0))))))</f>
        <v/>
      </c>
      <c r="R71" s="70"/>
      <c r="S71" s="260"/>
      <c r="T71" s="260"/>
      <c r="U71" s="260"/>
      <c r="V71" s="537"/>
      <c r="W71" s="66"/>
      <c r="X71" s="579"/>
      <c r="Y71" s="579"/>
      <c r="Z71" s="579"/>
      <c r="AA71" s="579"/>
      <c r="AB71" s="579"/>
    </row>
    <row r="72" spans="1:28" ht="7.35" customHeight="1" x14ac:dyDescent="0.25">
      <c r="A72" s="210" t="s">
        <v>324</v>
      </c>
      <c r="B72" s="7" t="str">
        <f>IF(  AND(ISNUMBER(C72),OR(ISNUMBER(D72),D72="PG")),IF(IF(Capa!$B$6="B",0,Capa!$B$6)&gt;=C72,1,0),"")</f>
        <v/>
      </c>
      <c r="C72" s="6">
        <f t="shared" si="1"/>
        <v>1</v>
      </c>
      <c r="D72" s="18" t="s">
        <v>62</v>
      </c>
      <c r="E72" s="394"/>
      <c r="F72" s="516"/>
      <c r="G72" s="533"/>
      <c r="H72" s="239"/>
      <c r="I72" s="27"/>
      <c r="J72" s="239"/>
      <c r="K72" s="529"/>
      <c r="L72" s="242"/>
      <c r="M72" s="65"/>
      <c r="N72" s="65"/>
      <c r="O72" s="65"/>
      <c r="P72" s="65"/>
      <c r="Q72" s="65"/>
      <c r="R72" s="65"/>
      <c r="S72" s="288"/>
      <c r="T72" s="288"/>
      <c r="U72" s="460"/>
      <c r="V72" s="540"/>
      <c r="W72" s="577"/>
      <c r="X72" s="522"/>
      <c r="Y72" s="522"/>
      <c r="Z72" s="522"/>
      <c r="AA72" s="522"/>
      <c r="AB72" s="522"/>
    </row>
    <row r="73" spans="1:28" ht="38.25" x14ac:dyDescent="0.25">
      <c r="A73" s="646" t="s">
        <v>324</v>
      </c>
      <c r="B73" s="7">
        <f>IF(  AND(ISNUMBER(C73),OR(ISNUMBER(D73),D73="PG")),IF(IF(Capa!$B$6="B",0,Capa!$B$6)&gt;=C73,1,0),"")</f>
        <v>0</v>
      </c>
      <c r="C73" s="6">
        <f t="shared" si="1"/>
        <v>1</v>
      </c>
      <c r="D73" s="647" t="s">
        <v>54</v>
      </c>
      <c r="E73" s="389" t="s">
        <v>326</v>
      </c>
      <c r="F73" s="513"/>
      <c r="G73" s="468"/>
      <c r="H73" s="241"/>
      <c r="I73" s="29"/>
      <c r="J73" s="239"/>
      <c r="K73" s="471"/>
      <c r="L73" s="697" t="str">
        <f>IF(OR(AND(NOT(ISBLANK(M73)),M73&lt;IF(Capa!$B$6&lt;&gt;"B",Capa!$B$6+1,1)),AND(NOT(ISBLANK(N73)),N73&lt;IF(Capa!$B$6&lt;&gt;"B",Capa!$B$6+1,1)),AND(NOT(ISBLANK(O73)),O73&lt;IF(Capa!$B$6&lt;&gt;"B",Capa!$B$6+1,1)),AND(NOT(ISBLANK(Q73)),Q73&lt;IF(Capa!$B$6&lt;&gt;"B",Capa!$B$6+1,1)),AND(NOT(ISBLANK(R73)),R73&lt;IF(Capa!$B$6&lt;&gt;"B",Capa!$B$6+1,1)),AND(NOT(ISBLANK(S73)),S73&lt;IF(Capa!$B$6&lt;&gt;"B",Capa!$B$6+1,1))),1,"")</f>
        <v/>
      </c>
      <c r="M73" s="81"/>
      <c r="N73" s="81"/>
      <c r="O73" s="81"/>
      <c r="P73" s="81"/>
      <c r="Q73" s="81"/>
      <c r="R73" s="81"/>
      <c r="S73" s="81"/>
      <c r="T73" s="81"/>
      <c r="U73" s="58"/>
      <c r="V73" s="464"/>
      <c r="W73" s="476"/>
      <c r="X73" s="666"/>
      <c r="Y73" s="522"/>
      <c r="Z73" s="522"/>
      <c r="AA73" s="522"/>
      <c r="AB73" s="522"/>
    </row>
    <row r="74" spans="1:28" ht="45" x14ac:dyDescent="0.25">
      <c r="A74" s="646" t="s">
        <v>324</v>
      </c>
      <c r="B74" s="7">
        <f>IF(  AND(ISNUMBER(C74),OR(ISNUMBER(D74),D74="PG")),IF(IF(Capa!$B$6="B",0,Capa!$B$6)&gt;=C74,1,0),"")</f>
        <v>0</v>
      </c>
      <c r="C74" s="6">
        <f t="shared" si="1"/>
        <v>1</v>
      </c>
      <c r="D74" s="647">
        <v>191</v>
      </c>
      <c r="E74" s="352" t="s">
        <v>327</v>
      </c>
      <c r="F74" s="513"/>
      <c r="G74" s="468"/>
      <c r="H74" s="241"/>
      <c r="I74" s="29"/>
      <c r="J74" s="425">
        <f t="shared" ref="J74:J80" si="14">LEN(K74)</f>
        <v>0</v>
      </c>
      <c r="K74" s="471"/>
      <c r="L74" s="697" t="str">
        <f t="shared" ref="L74:L80" si="15">IF(OR(I74="N",I74="P"),1,"")</f>
        <v/>
      </c>
      <c r="M74" s="719"/>
      <c r="N74" s="720"/>
      <c r="O74" s="720"/>
      <c r="P74" s="720"/>
      <c r="Q74" s="720"/>
      <c r="R74" s="720"/>
      <c r="S74" s="720"/>
      <c r="T74" s="721"/>
      <c r="U74" s="71"/>
      <c r="V74" s="464"/>
      <c r="W74" s="476"/>
      <c r="X74" s="522"/>
      <c r="Y74" s="522"/>
      <c r="Z74" s="522"/>
      <c r="AA74" s="522"/>
      <c r="AB74" s="522"/>
    </row>
    <row r="75" spans="1:28" ht="8.4499999999999993" customHeight="1" x14ac:dyDescent="0.25">
      <c r="A75" s="646" t="s">
        <v>324</v>
      </c>
      <c r="B75" s="7" t="str">
        <f>IF(  AND(ISNUMBER(C75),OR(ISNUMBER(D75),D75="PG")),IF(IF(Capa!$B$6="B",0,Capa!$B$6)&gt;=C75,1,0),"")</f>
        <v/>
      </c>
      <c r="C75" s="6">
        <f t="shared" si="1"/>
        <v>2</v>
      </c>
      <c r="D75" s="647" t="s">
        <v>64</v>
      </c>
      <c r="E75" s="352"/>
      <c r="F75" s="513"/>
      <c r="G75" s="468"/>
      <c r="H75" s="241"/>
      <c r="I75" s="29"/>
      <c r="J75" s="425">
        <f t="shared" si="14"/>
        <v>0</v>
      </c>
      <c r="K75" s="471"/>
      <c r="L75" s="697" t="str">
        <f t="shared" si="15"/>
        <v/>
      </c>
      <c r="M75" s="719"/>
      <c r="N75" s="720"/>
      <c r="O75" s="720"/>
      <c r="P75" s="720"/>
      <c r="Q75" s="720"/>
      <c r="R75" s="720"/>
      <c r="S75" s="720"/>
      <c r="T75" s="721"/>
      <c r="U75" s="71"/>
      <c r="V75" s="464"/>
      <c r="W75" s="476"/>
      <c r="X75" s="522"/>
      <c r="Y75" s="522"/>
      <c r="Z75" s="522"/>
      <c r="AA75" s="522"/>
      <c r="AB75" s="522"/>
    </row>
    <row r="76" spans="1:28" ht="30" x14ac:dyDescent="0.25">
      <c r="A76" s="646" t="s">
        <v>324</v>
      </c>
      <c r="B76" s="7">
        <f>IF(  AND(ISNUMBER(C76),OR(ISNUMBER(D76),D76="PG")),IF(IF(Capa!$B$6="B",0,Capa!$B$6)&gt;=C76,1,0),"")</f>
        <v>0</v>
      </c>
      <c r="C76" s="6">
        <f t="shared" si="1"/>
        <v>2</v>
      </c>
      <c r="D76" s="647">
        <v>192</v>
      </c>
      <c r="E76" s="352" t="s">
        <v>328</v>
      </c>
      <c r="F76" s="513"/>
      <c r="G76" s="468"/>
      <c r="H76" s="241"/>
      <c r="I76" s="29"/>
      <c r="J76" s="425">
        <f t="shared" si="14"/>
        <v>0</v>
      </c>
      <c r="K76" s="471"/>
      <c r="L76" s="697" t="str">
        <f t="shared" si="15"/>
        <v/>
      </c>
      <c r="M76" s="719"/>
      <c r="N76" s="720"/>
      <c r="O76" s="720"/>
      <c r="P76" s="720"/>
      <c r="Q76" s="720"/>
      <c r="R76" s="720"/>
      <c r="S76" s="720"/>
      <c r="T76" s="721"/>
      <c r="U76" s="71"/>
      <c r="V76" s="464"/>
      <c r="W76" s="476"/>
      <c r="X76" s="522"/>
      <c r="Y76" s="522"/>
      <c r="Z76" s="522"/>
      <c r="AA76" s="522"/>
      <c r="AB76" s="522"/>
    </row>
    <row r="77" spans="1:28" ht="45" x14ac:dyDescent="0.25">
      <c r="A77" s="646" t="s">
        <v>324</v>
      </c>
      <c r="B77" s="7">
        <f>IF(  AND(ISNUMBER(C77),OR(ISNUMBER(D77),D77="PG")),IF(IF(Capa!$B$6="B",0,Capa!$B$6)&gt;=C77,1,0),"")</f>
        <v>0</v>
      </c>
      <c r="C77" s="6">
        <f t="shared" si="1"/>
        <v>2</v>
      </c>
      <c r="D77" s="647">
        <v>193</v>
      </c>
      <c r="E77" s="411" t="s">
        <v>329</v>
      </c>
      <c r="F77" s="513"/>
      <c r="G77" s="468"/>
      <c r="H77" s="241"/>
      <c r="I77" s="29"/>
      <c r="J77" s="425">
        <f t="shared" si="14"/>
        <v>0</v>
      </c>
      <c r="K77" s="471"/>
      <c r="L77" s="697" t="str">
        <f t="shared" si="15"/>
        <v/>
      </c>
      <c r="M77" s="719"/>
      <c r="N77" s="720"/>
      <c r="O77" s="720"/>
      <c r="P77" s="720"/>
      <c r="Q77" s="720"/>
      <c r="R77" s="720"/>
      <c r="S77" s="720"/>
      <c r="T77" s="721"/>
      <c r="U77" s="71"/>
      <c r="V77" s="464"/>
      <c r="W77" s="476"/>
      <c r="X77" s="522"/>
      <c r="Y77" s="522"/>
      <c r="Z77" s="522"/>
      <c r="AA77" s="522"/>
      <c r="AB77" s="522"/>
    </row>
    <row r="78" spans="1:28" ht="8.4499999999999993" customHeight="1" x14ac:dyDescent="0.25">
      <c r="A78" s="646" t="s">
        <v>324</v>
      </c>
      <c r="B78" s="7" t="str">
        <f>IF(  AND(ISNUMBER(C78),OR(ISNUMBER(D78),D78="PG")),IF(IF(Capa!$B$6="B",0,Capa!$B$6)&gt;=C78,1,0),"")</f>
        <v/>
      </c>
      <c r="C78" s="6">
        <f t="shared" si="1"/>
        <v>3</v>
      </c>
      <c r="D78" s="647" t="s">
        <v>70</v>
      </c>
      <c r="E78" s="352"/>
      <c r="F78" s="513"/>
      <c r="G78" s="468"/>
      <c r="H78" s="241"/>
      <c r="I78" s="29"/>
      <c r="J78" s="425">
        <f t="shared" si="14"/>
        <v>0</v>
      </c>
      <c r="K78" s="471"/>
      <c r="L78" s="697" t="str">
        <f t="shared" si="15"/>
        <v/>
      </c>
      <c r="M78" s="719"/>
      <c r="N78" s="720"/>
      <c r="O78" s="720"/>
      <c r="P78" s="720"/>
      <c r="Q78" s="720"/>
      <c r="R78" s="720"/>
      <c r="S78" s="720"/>
      <c r="T78" s="721"/>
      <c r="U78" s="71"/>
      <c r="V78" s="464"/>
      <c r="W78" s="476"/>
      <c r="X78" s="522"/>
      <c r="Y78" s="522"/>
      <c r="Z78" s="522"/>
      <c r="AA78" s="522"/>
      <c r="AB78" s="522"/>
    </row>
    <row r="79" spans="1:28" ht="30" x14ac:dyDescent="0.25">
      <c r="A79" s="646" t="s">
        <v>324</v>
      </c>
      <c r="B79" s="7">
        <f>IF(  AND(ISNUMBER(C79),OR(ISNUMBER(D79),D79="PG")),IF(IF(Capa!$B$6="B",0,Capa!$B$6)&gt;=C79,1,0),"")</f>
        <v>0</v>
      </c>
      <c r="C79" s="6">
        <f t="shared" si="1"/>
        <v>3</v>
      </c>
      <c r="D79" s="649">
        <v>194</v>
      </c>
      <c r="E79" s="409" t="s">
        <v>330</v>
      </c>
      <c r="F79" s="513"/>
      <c r="G79" s="468"/>
      <c r="H79" s="241"/>
      <c r="I79" s="29"/>
      <c r="J79" s="425">
        <f t="shared" si="14"/>
        <v>0</v>
      </c>
      <c r="K79" s="471"/>
      <c r="L79" s="697" t="str">
        <f t="shared" si="15"/>
        <v/>
      </c>
      <c r="M79" s="719"/>
      <c r="N79" s="720"/>
      <c r="O79" s="720"/>
      <c r="P79" s="720"/>
      <c r="Q79" s="720"/>
      <c r="R79" s="720"/>
      <c r="S79" s="720"/>
      <c r="T79" s="721"/>
      <c r="U79" s="71"/>
      <c r="V79" s="464"/>
      <c r="W79" s="477"/>
      <c r="X79" s="522"/>
      <c r="Y79" s="522"/>
      <c r="Z79" s="522"/>
      <c r="AA79" s="522"/>
      <c r="AB79" s="522"/>
    </row>
    <row r="80" spans="1:28" ht="60" x14ac:dyDescent="0.25">
      <c r="A80" s="646" t="s">
        <v>324</v>
      </c>
      <c r="B80" s="7">
        <f>IF(  AND(ISNUMBER(C80),OR(ISNUMBER(D80),D80="PG")),IF(IF(Capa!$B$6="B",0,Capa!$B$6)&gt;=C80,1,0),"")</f>
        <v>0</v>
      </c>
      <c r="C80" s="6">
        <f t="shared" si="1"/>
        <v>3</v>
      </c>
      <c r="D80" s="649">
        <v>195</v>
      </c>
      <c r="E80" s="412" t="s">
        <v>331</v>
      </c>
      <c r="F80" s="513"/>
      <c r="G80" s="468"/>
      <c r="H80" s="241"/>
      <c r="I80" s="29"/>
      <c r="J80" s="425">
        <f t="shared" si="14"/>
        <v>0</v>
      </c>
      <c r="K80" s="471"/>
      <c r="L80" s="697" t="str">
        <f t="shared" si="15"/>
        <v/>
      </c>
      <c r="M80" s="719"/>
      <c r="N80" s="720"/>
      <c r="O80" s="720"/>
      <c r="P80" s="720"/>
      <c r="Q80" s="720"/>
      <c r="R80" s="720"/>
      <c r="S80" s="720"/>
      <c r="T80" s="721"/>
      <c r="U80" s="71"/>
      <c r="V80" s="464"/>
      <c r="W80" s="477"/>
      <c r="X80" s="522"/>
      <c r="Y80" s="522"/>
      <c r="Z80" s="522"/>
      <c r="AA80" s="522"/>
      <c r="AB80" s="522"/>
    </row>
    <row r="81" spans="1:28" ht="5.85" customHeight="1" x14ac:dyDescent="0.25">
      <c r="B81" s="7" t="str">
        <f>IF(  AND(ISNUMBER(C81),OR(ISNUMBER(D81),D81="PG")),IF(IF(Capa!$B$6="B",0,Capa!$B$6)&gt;=C81,1,0),"")</f>
        <v/>
      </c>
      <c r="C81" s="6" t="str">
        <f t="shared" si="1"/>
        <v/>
      </c>
      <c r="D81" s="225"/>
      <c r="E81" s="226"/>
      <c r="F81" s="123"/>
      <c r="G81" s="227"/>
      <c r="H81" s="227"/>
      <c r="I81" s="123"/>
      <c r="J81" s="227"/>
      <c r="K81" s="692"/>
      <c r="L81" s="227"/>
      <c r="M81" s="119"/>
      <c r="N81" s="119"/>
      <c r="O81" s="119"/>
      <c r="P81" s="119"/>
      <c r="Q81" s="119"/>
      <c r="R81" s="119"/>
      <c r="S81" s="229"/>
      <c r="T81" s="229"/>
      <c r="U81" s="454"/>
      <c r="V81" s="536"/>
      <c r="W81" s="121"/>
      <c r="X81" s="522"/>
      <c r="Y81" s="522"/>
      <c r="Z81" s="522"/>
      <c r="AA81" s="522"/>
      <c r="AB81" s="522"/>
    </row>
    <row r="82" spans="1:28" x14ac:dyDescent="0.25">
      <c r="A82" s="210" t="s">
        <v>332</v>
      </c>
      <c r="B82" s="7" t="str">
        <f>IF(  AND(ISNUMBER(C82),OR(ISNUMBER(D82),D82="PG")),IF(IF(Capa!$B$6="B",0,Capa!$B$6)&gt;=C82,1,0),"")</f>
        <v/>
      </c>
      <c r="C82" s="6" t="str">
        <f t="shared" si="1"/>
        <v/>
      </c>
      <c r="D82" s="15"/>
      <c r="E82" s="395" t="s">
        <v>333</v>
      </c>
      <c r="F82" s="381">
        <f>IF(COUNTIFS($A$1:$A$235,"="&amp;A82&amp;"?",$B$1:$B$235,"&gt;0",$D$1:$D$235,"&gt;0")&gt;0,(COUNTIFS($A$1:$A$235,"="&amp;A82&amp;"?",$B$1:$B$235,"&gt;0",$D$1:$D$235,"&gt;0",F$1:F$235,"=S")+COUNTIFS($A$1:$A$235,"="&amp;A82&amp;"?",$B$1:$B$235,"&gt;0",$D$1:$D$235,"&gt;0",$F$1:$F$235,"=P")+COUNTIFS($A$1:$A$235,"="&amp;A82&amp;"?",$B$1:$B$235,"&gt;0",$D$1:$D$235,"&gt;0",F$1:F$235,"=N")+COUNTIFS($A$1:$A$235,"="&amp;A82&amp;"?",$B$1:$B$235,"&gt;0",$D$1:$D$235,"&gt;0",F$1:F$235,"=NA"))/COUNTIFS($A$1:$A$235,"="&amp;A82&amp;"?",$B$1:$B$235,"&gt;0",$D$1:$D$235,"&gt;0"),0)</f>
        <v>0</v>
      </c>
      <c r="G82" s="534"/>
      <c r="H82" s="232"/>
      <c r="I82" s="381">
        <f>IF(COUNTIFS($A$1:$A$235,"="&amp;A82&amp;"?",$B$1:$B$235,"&gt;0",$D$1:$D$235,"&gt;0")&gt;0,
        (COUNTIFS($A$1:$A$235,"="&amp;A82&amp;"?",$B$1:$B$235,"&gt;0",$D$1:$D$235,"&gt;0",F$1:F$235,"=S",I$1:I$235,"") +
         (COUNTIFS($A$1:$A$235,"="&amp;A82&amp;"?",$B$1:$B$235,"&gt;0",$D$1:$D$235,"&gt;0",$F$1:$F$235,"=P",I$1:I$235,"")/2) +
         COUNTIFS($A$1:$A$235,"="&amp;A82&amp;"?",$B$1:$B$235,"&gt;0",$D$1:$D$235,"&gt;0",I$1:I$235,"=S") +
         (COUNTIFS($A$1:$A$235,"="&amp;A82&amp;"?",$B$1:$B$235,"&gt;0",$D$1:$D$235,"&gt;0",I$1:I$235,"=P")/2)
         )/COUNTIFS($A$1:$A$235,"="&amp;A82&amp;"?",$B$1:$B$235,"&gt;0",$D$1:$D$235,"&gt;0"),0)</f>
        <v>0</v>
      </c>
      <c r="J82" s="219"/>
      <c r="K82" s="528"/>
      <c r="L82" s="219"/>
      <c r="M82" s="722">
        <f>(M83*20+N83*10+O83*10+Q83*30+R83*15+S83*15)/100</f>
        <v>0</v>
      </c>
      <c r="N82" s="723"/>
      <c r="O82" s="723"/>
      <c r="P82" s="723"/>
      <c r="Q82" s="723"/>
      <c r="R82" s="723"/>
      <c r="S82" s="723"/>
      <c r="T82" s="724"/>
      <c r="U82" s="450"/>
      <c r="V82" s="537"/>
      <c r="W82" s="66"/>
      <c r="X82" s="579"/>
      <c r="Y82" s="579"/>
      <c r="Z82" s="579"/>
      <c r="AA82" s="579"/>
      <c r="AB82" s="579"/>
    </row>
    <row r="83" spans="1:28" ht="18.95" customHeight="1" x14ac:dyDescent="0.25">
      <c r="A83" s="210" t="s">
        <v>332</v>
      </c>
      <c r="B83" s="7" t="str">
        <f>IF(  AND(ISNUMBER(C83),OR(ISNUMBER(D83),D83="PG")),IF(IF(Capa!$B$6="B",0,Capa!$B$6)&gt;=C83,1,0),"")</f>
        <v/>
      </c>
      <c r="C83" s="6" t="str">
        <f t="shared" si="1"/>
        <v/>
      </c>
      <c r="D83" s="132"/>
      <c r="E83" s="393">
        <f>IF(SUMIFS($B$1:$B$235,$A$1:$A$235,"="&amp;A82&amp;"?",B$1:B$235,"&gt;0")&lt;=0,0,COUNTIFS($F$1:$F$235,"*",$A$1:$A$235,"="&amp;A82&amp;"?",B$1:B$235,"&gt;0")/SUMIFS($B$1:$B$235,$A$1:$A$235,"="&amp;A82&amp;"?",B$1:B$235,"&gt;0"))</f>
        <v>0</v>
      </c>
      <c r="F83" s="521"/>
      <c r="G83" s="535"/>
      <c r="H83" s="239"/>
      <c r="I83" s="26"/>
      <c r="J83" s="239"/>
      <c r="K83" s="530"/>
      <c r="L83" s="240"/>
      <c r="M83" s="100">
        <f>(COUNTIFS($A$1:$A$235,"="&amp;$A82&amp;"?",$B$1:$B$235,"&gt;0",$D$1:$D$235,"=PG",M$1:M$235,"=1")*(IF(Capa!$B$6="B",100,IF(Capa!$B$6=1,50,IF(Capa!$B$6=2,33,25))))+COUNTIFS($A$1:$A$235,"="&amp;$A82&amp;"?",$B$1:$B$235,"&gt;0",$D$1:$D$235,"=PG",M$1:M$235,"=2")*(IF(Capa!$B$6="B",100,IF(Capa!$B$6=1,100,IF(Capa!$B$6=2,67,50))))+COUNTIFS($A$1:$A$235,"="&amp;$A82&amp;"?",$B$1:$B$235,"&gt;0",$D$1:$D$235,"=PG",M$1:M$235,"=3")*(IF(Capa!$B$6="B",100,IF(Capa!$B$6=1,100,IF(Capa!$B$6=2,100,75))))+COUNTIFS($A$1:$A$235,"="&amp;$A82&amp;"?",$B$1:$B$235,"&gt;0",$D$1:$D$235,"=PG",M$1:M$235,"=4")*100)/(COUNTIFS($A$1:$A$235,"="&amp;$A82&amp;"?",$B$1:$B$235,"&gt;0",$D$1:$D$235,"=PG")*100)</f>
        <v>0</v>
      </c>
      <c r="N83" s="100">
        <f>(COUNTIFS($A$1:$A$235,"="&amp;$A82&amp;"?",$B$1:$B$235,"&gt;0",$D$1:$D$235,"=PG",N$1:N$235,"=1")*(IF(Capa!$B$6="B",100,IF(Capa!$B$6=1,50,IF(Capa!$B$6=2,33,25))))+COUNTIFS($A$1:$A$235,"="&amp;$A82&amp;"?",$B$1:$B$235,"&gt;0",$D$1:$D$235,"=PG",N$1:N$235,"=2")*(IF(Capa!$B$6="B",100,IF(Capa!$B$6=1,100,IF(Capa!$B$6=2,67,50))))+COUNTIFS($A$1:$A$235,"="&amp;$A82&amp;"?",$B$1:$B$235,"&gt;0",$D$1:$D$235,"=PG",N$1:N$235,"=3")*(IF(Capa!$B$6="B",100,IF(Capa!$B$6=1,100,IF(Capa!$B$6=2,100,75))))+COUNTIFS($A$1:$A$235,"="&amp;$A82&amp;"?",$B$1:$B$235,"&gt;0",$D$1:$D$235,"=PG",N$1:N$235,"=4")*100)/(COUNTIFS($A$1:$A$235,"="&amp;$A82&amp;"?",$B$1:$B$235,"&gt;0",$D$1:$D$235,"=PG")*100)</f>
        <v>0</v>
      </c>
      <c r="O83" s="100">
        <f>(COUNTIFS($A$1:$A$235,"="&amp;$A82&amp;"?",$B$1:$B$235,"&gt;0",$D$1:$D$235,"=PG",O$1:O$235,"=1")*(IF(Capa!$B$6="B",100,IF(Capa!$B$6=1,50,IF(Capa!$B$6=2,33,25))))+COUNTIFS($A$1:$A$235,"="&amp;$A82&amp;"?",$B$1:$B$235,"&gt;0",$D$1:$D$235,"=PG",O$1:O$235,"=2")*(IF(Capa!$B$6="B",100,IF(Capa!$B$6=1,100,IF(Capa!$B$6=2,67,50))))+COUNTIFS($A$1:$A$235,"="&amp;$A82&amp;"?",$B$1:$B$235,"&gt;0",$D$1:$D$235,"=PG",O$1:O$235,"=3")*(IF(Capa!$B$6="B",100,IF(Capa!$B$6=1,100,IF(Capa!$B$6=2,100,75))))+COUNTIFS($A$1:$A$235,"="&amp;$A82&amp;"?",$B$1:$B$235,"&gt;0",$D$1:$D$235,"=PG",O$1:O$235,"=4")*100)/(COUNTIFS($A$1:$A$235,"="&amp;$A82&amp;"?",$B$1:$B$235,"&gt;0",$D$1:$D$235,"=PG")*100)</f>
        <v>0</v>
      </c>
      <c r="P83" s="414">
        <f>P86+P105+P117+P129</f>
        <v>0</v>
      </c>
      <c r="Q83" s="100">
        <f>(COUNTIFS($A$1:$A$235,"="&amp;$A82&amp;"?",$B$1:$B$235,"",$L$1:$L$235,"&gt;=0",Q$1:Q$235,"=1")*(IF(Capa!$B$6="B",100,IF(Capa!$B$6=1,50,IF(Capa!$B$6=2,33,25))))+COUNTIFS($A$1:$A$235,"="&amp;$A82&amp;"?",$B$1:$B$235,"",$L$1:$L$235,"&gt;=0",Q$1:Q$235,"=2")*(IF(Capa!$B$6="B",100,IF(Capa!$B$6=1,100,IF(Capa!$B$6=2,67,50))))+COUNTIFS($A$1:$A$235,"="&amp;$A82&amp;"?",$B$1:$B$235,"",$L$1:$L$235,"&gt;=0",Q$1:Q$235,"=3")*(IF(Capa!$B$6="B",100,IF(Capa!$B$6=1,100,IF(Capa!$B$6=2,100,75))))+COUNTIFS($A$1:$A$235,"="&amp;$A82&amp;"?",$B$1:$B$235,"",$L$1:$L$235,"&gt;=0",Q$1:Q$235,"=4")*100)/(COUNTIFS($A$1:$A$235,"="&amp;$A82&amp;"?",$B$1:$B$235,"",$L$1:$L$235,"&gt;=0")*100)</f>
        <v>0</v>
      </c>
      <c r="R83" s="100">
        <f>(COUNTIFS($A$1:$A$235,"="&amp;$A82&amp;"?",$B$1:$B$235,"&gt;0",$D$1:$D$235,"=PG",R$1:R$235,"=1")*(IF(Capa!$B$6="B",100,IF(Capa!$B$6=1,50,IF(Capa!$B$6=2,33,25))))+COUNTIFS($A$1:$A$235,"="&amp;$A82&amp;"?",$B$1:$B$235,"&gt;0",$D$1:$D$235,"=PG",R$1:R$235,"=2")*(IF(Capa!$B$6="B",100,IF(Capa!$B$6=1,100,IF(Capa!$B$6=2,67,50))))+COUNTIFS($A$1:$A$235,"="&amp;$A82&amp;"?",$B$1:$B$235,"&gt;0",$D$1:$D$235,"=PG",R$1:R$235,"=3")*(IF(Capa!$B$6="B",100,IF(Capa!$B$6=1,100,IF(Capa!$B$6=2,100,75))))+COUNTIFS($A$1:$A$235,"="&amp;$A82&amp;"?",$B$1:$B$235,"&gt;0",$D$1:$D$235,"=PG",R$1:R$235,"=4")*100)/(COUNTIFS($A$1:$A$235,"="&amp;$A82&amp;"?",$B$1:$B$235,"&gt;0",$D$1:$D$235,"=PG")*100)</f>
        <v>0</v>
      </c>
      <c r="S83" s="100">
        <f>(COUNTIFS($A$1:$A$235,"="&amp;$A82&amp;"?",$B$1:$B$235,"&gt;0",$D$1:$D$235,"=PG",S$1:S$235,"=1")*(IF(Capa!$B$6="B",100,IF(Capa!$B$6=1,50,IF(Capa!$B$6=2,33,25))))+COUNTIFS($A$1:$A$235,"="&amp;$A82&amp;"?",$B$1:$B$235,"&gt;0",$D$1:$D$235,"=PG",S$1:S$235,"=2")*(IF(Capa!$B$6="B",100,IF(Capa!$B$6=1,100,IF(Capa!$B$6=2,67,50))))+COUNTIFS($A$1:$A$235,"="&amp;$A82&amp;"?",$B$1:$B$235,"&gt;0",$D$1:$D$235,"=PG",S$1:S$235,"=3")*(IF(Capa!$B$6="B",100,IF(Capa!$B$6=1,100,IF(Capa!$B$6=2,100,75))))+COUNTIFS($A$1:$A$235,"="&amp;$A82&amp;"?",$B$1:$B$235,"&gt;0",$D$1:$D$235,"=PG",S$1:S$235,"=4")*100)/(COUNTIFS($A$1:$A$235,"="&amp;$A82&amp;"?",$B$1:$B$235,"&gt;0",$D$1:$D$235,"=PG")*100)</f>
        <v>0</v>
      </c>
      <c r="T83" s="414">
        <f>T86+T105+T117+T129</f>
        <v>0</v>
      </c>
      <c r="U83" s="100"/>
      <c r="V83" s="538"/>
      <c r="W83" s="478"/>
      <c r="X83" s="522"/>
      <c r="Y83" s="522"/>
      <c r="Z83" s="522"/>
      <c r="AA83" s="522"/>
      <c r="AB83" s="522"/>
    </row>
    <row r="84" spans="1:28" x14ac:dyDescent="0.25">
      <c r="A84" s="210" t="s">
        <v>334</v>
      </c>
      <c r="B84" s="7" t="str">
        <f>IF(  AND(ISNUMBER(C84),OR(ISNUMBER(D84),D84="PG")),IF(IF(Capa!$B$6="B",0,Capa!$B$6)&gt;=C84,1,0),"")</f>
        <v/>
      </c>
      <c r="C84" s="6" t="str">
        <f t="shared" si="1"/>
        <v/>
      </c>
      <c r="D84" s="15"/>
      <c r="E84" s="395" t="s">
        <v>335</v>
      </c>
      <c r="F84" s="517"/>
      <c r="G84" s="532"/>
      <c r="H84" s="219"/>
      <c r="I84" s="23"/>
      <c r="J84" s="219"/>
      <c r="K84" s="528"/>
      <c r="L84" s="383">
        <f>IF(AND($B86=1,D86="PG"),IF(COUNTIFS($A$1:$A$235,"="&amp;$A84,$B$1:$B$235,"&gt;0",$D$1:$D$235,"&gt;0")&gt;0,
        (COUNTIFS($A$1:$A$235,"="&amp;$A84,$B$1:$B$235,"&gt;0",$D$1:$D$235,"&gt;0",F$1:F$235,"=S",I$1:I$235,"") +
         (COUNTIFS($A$1:$A$235,"="&amp;$A84,$B$1:$B$235,"&gt;0",$D$1:$D$235,"&gt;0",$F$1:$F$235,"=P",I$1:I$235,"")/2) +
         COUNTIFS($A$1:$A$235,"="&amp;$A84,$B$1:$B$235,"&gt;0",$D$1:$D$235,"&gt;0",I$1:I$235,"=S") +
         (COUNTIFS($A$1:$A$235,"="&amp;$A84,$B$1:$B$235,"&gt;0",$D$1:$D$235,"&gt;0",I$1:I$235,"=P")/2)
         )/COUNTIFS($A$1:$A$235,"="&amp;$A84,$B$1:$B$235,"&gt;0",$D$1:$D$235,"&gt;0"),1),"")</f>
        <v>0</v>
      </c>
      <c r="M84" s="380"/>
      <c r="N84" s="70"/>
      <c r="O84" s="68"/>
      <c r="P84" s="68"/>
      <c r="Q84" s="83">
        <f>IF(L84="","",MIN(IF(ISBLANK(Q86),0,Q86),IF(L84&gt;0.9,4,IF(L84&gt;0.5,3,IF(L84&gt;0.3,2,IF(OR(L84&gt;0,Q86&gt;0),1,0))))))</f>
        <v>0</v>
      </c>
      <c r="R84" s="70"/>
      <c r="S84" s="260"/>
      <c r="T84" s="260"/>
      <c r="U84" s="260"/>
      <c r="V84" s="537"/>
      <c r="W84" s="66"/>
      <c r="X84" s="579"/>
      <c r="Y84" s="579"/>
      <c r="Z84" s="579"/>
      <c r="AA84" s="579"/>
      <c r="AB84" s="579"/>
    </row>
    <row r="85" spans="1:28" ht="16.350000000000001" hidden="1" customHeight="1" x14ac:dyDescent="0.25">
      <c r="A85" s="210" t="s">
        <v>334</v>
      </c>
      <c r="B85" s="7" t="str">
        <f>IF(  AND(ISNUMBER(C85),OR(ISNUMBER(D85),D85="PG")),IF(IF(Capa!$B$6="B",0,Capa!$B$6)&gt;=C85,1,0),"")</f>
        <v/>
      </c>
      <c r="C85" s="6">
        <f t="shared" ref="C85:C134" si="16">IF(ISBLANK(D85),"",IF(ISERR(SEARCH(D85&amp;"\","&lt;B&gt;\&lt;1&gt;\&lt;2&gt;\&lt;3&gt;\")),IF(AND(NOT(ISBLANK(C84)),C84&lt;=3),C84,""),
IF(SEARCH(D85&amp;"\","&lt;B&gt;\&lt;1&gt;\&lt;2&gt;\&lt;3&gt;\")=1,0,IF(SEARCH(D85&amp;"\","&lt;B&gt;\&lt;1&gt;\&lt;2&gt;\&lt;3&gt;\")=5,1,IF(SEARCH(D85&amp;"\","&lt;B&gt;\&lt;1&gt;\&lt;2&gt;\&lt;3&gt;\")=9,2,IF(SEARCH(D85&amp;"\","&lt;B&gt;\&lt;1&gt;\&lt;2&gt;\&lt;3&gt;\")=13,3,""))))))</f>
        <v>0</v>
      </c>
      <c r="D85" s="5" t="s">
        <v>53</v>
      </c>
      <c r="E85" s="394"/>
      <c r="F85" s="516"/>
      <c r="G85" s="533"/>
      <c r="H85" s="239"/>
      <c r="I85" s="27"/>
      <c r="J85" s="239"/>
      <c r="K85" s="529"/>
      <c r="L85" s="242"/>
      <c r="M85" s="63"/>
      <c r="N85" s="63"/>
      <c r="O85" s="63"/>
      <c r="P85" s="63"/>
      <c r="Q85" s="63"/>
      <c r="R85" s="63"/>
      <c r="U85" s="287"/>
      <c r="V85" s="542"/>
      <c r="X85" s="522"/>
      <c r="Y85" s="522"/>
      <c r="Z85" s="522"/>
      <c r="AA85" s="522"/>
      <c r="AB85" s="522"/>
    </row>
    <row r="86" spans="1:28" ht="104.45" customHeight="1" x14ac:dyDescent="0.25">
      <c r="A86" s="646" t="s">
        <v>334</v>
      </c>
      <c r="B86" s="7">
        <f>IF(  AND(ISNUMBER(C86),OR(ISNUMBER(D86),D86="PG")),IF(IF(Capa!$B$6="B",0,Capa!$B$6)&gt;=C86,1,0),"")</f>
        <v>1</v>
      </c>
      <c r="C86" s="6">
        <f t="shared" si="16"/>
        <v>0</v>
      </c>
      <c r="D86" s="647" t="s">
        <v>54</v>
      </c>
      <c r="E86" s="389" t="s">
        <v>336</v>
      </c>
      <c r="F86" s="513"/>
      <c r="G86" s="468"/>
      <c r="H86" s="241"/>
      <c r="I86" s="29"/>
      <c r="J86" s="239"/>
      <c r="K86" s="471"/>
      <c r="L86" s="697" t="str">
        <f>IF(OR(AND(NOT(ISBLANK(M86)),M86&lt;IF(Capa!$B$6&lt;&gt;"B",Capa!$B$6+1,1)),AND(NOT(ISBLANK(N86)),N86&lt;IF(Capa!$B$6&lt;&gt;"B",Capa!$B$6+1,1)),AND(NOT(ISBLANK(O86)),O86&lt;IF(Capa!$B$6&lt;&gt;"B",Capa!$B$6+1,1)),AND(NOT(ISBLANK(Q86)),Q86&lt;IF(Capa!$B$6&lt;&gt;"B",Capa!$B$6+1,1)),AND(NOT(ISBLANK(R86)),R86&lt;IF(Capa!$B$6&lt;&gt;"B",Capa!$B$6+1,1)),AND(NOT(ISBLANK(S86)),S86&lt;IF(Capa!$B$6&lt;&gt;"B",Capa!$B$6+1,1))),1,"")</f>
        <v/>
      </c>
      <c r="M86" s="81"/>
      <c r="N86" s="81"/>
      <c r="O86" s="81"/>
      <c r="P86" s="81"/>
      <c r="Q86" s="81"/>
      <c r="R86" s="81"/>
      <c r="S86" s="81"/>
      <c r="T86" s="81"/>
      <c r="U86" s="58"/>
      <c r="V86" s="464"/>
      <c r="W86" s="476"/>
      <c r="X86" s="666"/>
      <c r="Y86" s="522"/>
      <c r="Z86" s="522"/>
      <c r="AA86" s="522"/>
      <c r="AB86" s="522"/>
    </row>
    <row r="87" spans="1:28" ht="30" x14ac:dyDescent="0.25">
      <c r="A87" s="646" t="s">
        <v>334</v>
      </c>
      <c r="B87" s="7">
        <f>IF(  AND(ISNUMBER(C87),OR(ISNUMBER(D87),D87="PG")),IF(IF(Capa!$B$6="B",0,Capa!$B$6)&gt;=C87,1,0),"")</f>
        <v>1</v>
      </c>
      <c r="C87" s="6">
        <f t="shared" si="16"/>
        <v>0</v>
      </c>
      <c r="D87" s="647">
        <v>196</v>
      </c>
      <c r="E87" s="352" t="s">
        <v>337</v>
      </c>
      <c r="F87" s="513"/>
      <c r="G87" s="468"/>
      <c r="H87" s="241"/>
      <c r="I87" s="29"/>
      <c r="J87" s="425">
        <f t="shared" ref="J87:J101" si="17">LEN(K87)</f>
        <v>0</v>
      </c>
      <c r="K87" s="471"/>
      <c r="L87" s="697" t="str">
        <f t="shared" ref="L87:L101" si="18">IF(OR(I87="N",I87="P"),1,"")</f>
        <v/>
      </c>
      <c r="M87" s="719"/>
      <c r="N87" s="720"/>
      <c r="O87" s="720"/>
      <c r="P87" s="720"/>
      <c r="Q87" s="720"/>
      <c r="R87" s="720"/>
      <c r="S87" s="720"/>
      <c r="T87" s="721"/>
      <c r="U87" s="71"/>
      <c r="V87" s="464"/>
      <c r="W87" s="476"/>
      <c r="X87" s="522"/>
      <c r="Y87" s="522"/>
      <c r="Z87" s="522"/>
      <c r="AA87" s="522"/>
      <c r="AB87" s="522"/>
    </row>
    <row r="88" spans="1:28" ht="90.6" customHeight="1" x14ac:dyDescent="0.25">
      <c r="A88" s="646" t="s">
        <v>334</v>
      </c>
      <c r="B88" s="7">
        <f>IF(  AND(ISNUMBER(C88),OR(ISNUMBER(D88),D88="PG")),IF(IF(Capa!$B$6="B",0,Capa!$B$6)&gt;=C88,1,0),"")</f>
        <v>1</v>
      </c>
      <c r="C88" s="6">
        <f t="shared" si="16"/>
        <v>0</v>
      </c>
      <c r="D88" s="647">
        <v>197</v>
      </c>
      <c r="E88" s="352" t="s">
        <v>338</v>
      </c>
      <c r="F88" s="513"/>
      <c r="G88" s="468"/>
      <c r="H88" s="241"/>
      <c r="I88" s="29"/>
      <c r="J88" s="425">
        <f t="shared" si="17"/>
        <v>0</v>
      </c>
      <c r="K88" s="471"/>
      <c r="L88" s="697" t="str">
        <f t="shared" si="18"/>
        <v/>
      </c>
      <c r="M88" s="719"/>
      <c r="N88" s="720"/>
      <c r="O88" s="720"/>
      <c r="P88" s="720"/>
      <c r="Q88" s="720"/>
      <c r="R88" s="720"/>
      <c r="S88" s="720"/>
      <c r="T88" s="721"/>
      <c r="U88" s="71"/>
      <c r="V88" s="464"/>
      <c r="W88" s="476"/>
      <c r="X88" s="522"/>
      <c r="Y88" s="522"/>
      <c r="Z88" s="522"/>
      <c r="AA88" s="522"/>
      <c r="AB88" s="522"/>
    </row>
    <row r="89" spans="1:28" ht="45" x14ac:dyDescent="0.25">
      <c r="A89" s="646" t="s">
        <v>334</v>
      </c>
      <c r="B89" s="7">
        <f>IF(  AND(ISNUMBER(C89),OR(ISNUMBER(D89),D89="PG")),IF(IF(Capa!$B$6="B",0,Capa!$B$6)&gt;=C89,1,0),"")</f>
        <v>1</v>
      </c>
      <c r="C89" s="6">
        <f t="shared" si="16"/>
        <v>0</v>
      </c>
      <c r="D89" s="647">
        <v>198</v>
      </c>
      <c r="E89" s="352" t="s">
        <v>339</v>
      </c>
      <c r="F89" s="513"/>
      <c r="G89" s="468"/>
      <c r="H89" s="241"/>
      <c r="I89" s="29"/>
      <c r="J89" s="425">
        <f t="shared" si="17"/>
        <v>0</v>
      </c>
      <c r="K89" s="471"/>
      <c r="L89" s="697" t="str">
        <f t="shared" si="18"/>
        <v/>
      </c>
      <c r="M89" s="719"/>
      <c r="N89" s="720"/>
      <c r="O89" s="720"/>
      <c r="P89" s="720"/>
      <c r="Q89" s="720"/>
      <c r="R89" s="720"/>
      <c r="S89" s="720"/>
      <c r="T89" s="721"/>
      <c r="U89" s="71"/>
      <c r="V89" s="464"/>
      <c r="W89" s="476"/>
      <c r="X89" s="522"/>
      <c r="Y89" s="522"/>
      <c r="Z89" s="522"/>
      <c r="AA89" s="522"/>
      <c r="AB89" s="522"/>
    </row>
    <row r="90" spans="1:28" ht="7.9" customHeight="1" x14ac:dyDescent="0.25">
      <c r="A90" s="646" t="s">
        <v>334</v>
      </c>
      <c r="B90" s="7" t="str">
        <f>IF(  AND(ISNUMBER(C90),OR(ISNUMBER(D90),D90="PG")),IF(IF(Capa!$B$6="B",0,Capa!$B$6)&gt;=C90,1,0),"")</f>
        <v/>
      </c>
      <c r="C90" s="6">
        <f t="shared" si="16"/>
        <v>1</v>
      </c>
      <c r="D90" s="647" t="s">
        <v>62</v>
      </c>
      <c r="E90" s="352"/>
      <c r="F90" s="513"/>
      <c r="G90" s="468"/>
      <c r="H90" s="241"/>
      <c r="I90" s="29"/>
      <c r="J90" s="425">
        <f t="shared" si="17"/>
        <v>0</v>
      </c>
      <c r="K90" s="471"/>
      <c r="L90" s="697" t="str">
        <f t="shared" si="18"/>
        <v/>
      </c>
      <c r="M90" s="719"/>
      <c r="N90" s="720"/>
      <c r="O90" s="720"/>
      <c r="P90" s="720"/>
      <c r="Q90" s="720"/>
      <c r="R90" s="720"/>
      <c r="S90" s="720"/>
      <c r="T90" s="721"/>
      <c r="U90" s="71"/>
      <c r="V90" s="464"/>
      <c r="W90" s="476"/>
      <c r="X90" s="522"/>
      <c r="Y90" s="522"/>
      <c r="Z90" s="522"/>
      <c r="AA90" s="522"/>
      <c r="AB90" s="522"/>
    </row>
    <row r="91" spans="1:28" ht="59.45" customHeight="1" x14ac:dyDescent="0.25">
      <c r="A91" s="646" t="s">
        <v>334</v>
      </c>
      <c r="B91" s="7">
        <f>IF(  AND(ISNUMBER(C91),OR(ISNUMBER(D91),D91="PG")),IF(IF(Capa!$B$6="B",0,Capa!$B$6)&gt;=C91,1,0),"")</f>
        <v>0</v>
      </c>
      <c r="C91" s="6">
        <f t="shared" si="16"/>
        <v>1</v>
      </c>
      <c r="D91" s="647">
        <v>199</v>
      </c>
      <c r="E91" s="352" t="s">
        <v>340</v>
      </c>
      <c r="F91" s="513"/>
      <c r="G91" s="468"/>
      <c r="H91" s="241"/>
      <c r="I91" s="29"/>
      <c r="J91" s="425">
        <f t="shared" si="17"/>
        <v>0</v>
      </c>
      <c r="K91" s="471"/>
      <c r="L91" s="697" t="str">
        <f t="shared" si="18"/>
        <v/>
      </c>
      <c r="M91" s="719"/>
      <c r="N91" s="720"/>
      <c r="O91" s="720"/>
      <c r="P91" s="720"/>
      <c r="Q91" s="720"/>
      <c r="R91" s="720"/>
      <c r="S91" s="720"/>
      <c r="T91" s="721"/>
      <c r="U91" s="71"/>
      <c r="V91" s="464"/>
      <c r="W91" s="476"/>
      <c r="X91" s="522"/>
      <c r="Y91" s="522"/>
      <c r="Z91" s="522"/>
      <c r="AA91" s="522"/>
      <c r="AB91" s="522"/>
    </row>
    <row r="92" spans="1:28" ht="60" x14ac:dyDescent="0.25">
      <c r="A92" s="646" t="s">
        <v>334</v>
      </c>
      <c r="B92" s="7">
        <f>IF(  AND(ISNUMBER(C92),OR(ISNUMBER(D92),D92="PG")),IF(IF(Capa!$B$6="B",0,Capa!$B$6)&gt;=C92,1,0),"")</f>
        <v>0</v>
      </c>
      <c r="C92" s="6">
        <f t="shared" si="16"/>
        <v>1</v>
      </c>
      <c r="D92" s="647">
        <v>200</v>
      </c>
      <c r="E92" s="352" t="s">
        <v>341</v>
      </c>
      <c r="F92" s="513"/>
      <c r="G92" s="468"/>
      <c r="H92" s="241"/>
      <c r="I92" s="29"/>
      <c r="J92" s="425">
        <f t="shared" si="17"/>
        <v>0</v>
      </c>
      <c r="K92" s="471"/>
      <c r="L92" s="697" t="str">
        <f t="shared" si="18"/>
        <v/>
      </c>
      <c r="M92" s="719"/>
      <c r="N92" s="720"/>
      <c r="O92" s="720"/>
      <c r="P92" s="720"/>
      <c r="Q92" s="720"/>
      <c r="R92" s="720"/>
      <c r="S92" s="720"/>
      <c r="T92" s="721"/>
      <c r="U92" s="71"/>
      <c r="V92" s="464"/>
      <c r="W92" s="476"/>
      <c r="X92" s="522"/>
      <c r="Y92" s="522"/>
      <c r="Z92" s="522"/>
      <c r="AA92" s="522"/>
      <c r="AB92" s="522"/>
    </row>
    <row r="93" spans="1:28" ht="60" x14ac:dyDescent="0.25">
      <c r="A93" s="646" t="s">
        <v>334</v>
      </c>
      <c r="B93" s="7">
        <f>IF(  AND(ISNUMBER(C93),OR(ISNUMBER(D93),D93="PG")),IF(IF(Capa!$B$6="B",0,Capa!$B$6)&gt;=C93,1,0),"")</f>
        <v>0</v>
      </c>
      <c r="C93" s="6">
        <f t="shared" si="16"/>
        <v>1</v>
      </c>
      <c r="D93" s="647">
        <v>201</v>
      </c>
      <c r="E93" s="352" t="s">
        <v>342</v>
      </c>
      <c r="F93" s="513"/>
      <c r="G93" s="468"/>
      <c r="H93" s="241"/>
      <c r="I93" s="29"/>
      <c r="J93" s="425">
        <f t="shared" si="17"/>
        <v>0</v>
      </c>
      <c r="K93" s="471"/>
      <c r="L93" s="697" t="str">
        <f t="shared" si="18"/>
        <v/>
      </c>
      <c r="M93" s="719"/>
      <c r="N93" s="720"/>
      <c r="O93" s="720"/>
      <c r="P93" s="720"/>
      <c r="Q93" s="720"/>
      <c r="R93" s="720"/>
      <c r="S93" s="720"/>
      <c r="T93" s="721"/>
      <c r="U93" s="71"/>
      <c r="V93" s="464"/>
      <c r="W93" s="476"/>
      <c r="X93" s="522"/>
      <c r="Y93" s="522"/>
      <c r="Z93" s="522"/>
      <c r="AA93" s="522"/>
      <c r="AB93" s="522"/>
    </row>
    <row r="94" spans="1:28" ht="30" x14ac:dyDescent="0.25">
      <c r="A94" s="646" t="s">
        <v>334</v>
      </c>
      <c r="B94" s="7">
        <f>IF(  AND(ISNUMBER(C94),OR(ISNUMBER(D94),D94="PG")),IF(IF(Capa!$B$6="B",0,Capa!$B$6)&gt;=C94,1,0),"")</f>
        <v>0</v>
      </c>
      <c r="C94" s="6">
        <f t="shared" si="16"/>
        <v>1</v>
      </c>
      <c r="D94" s="647">
        <v>202</v>
      </c>
      <c r="E94" s="352" t="s">
        <v>343</v>
      </c>
      <c r="F94" s="513"/>
      <c r="G94" s="468"/>
      <c r="H94" s="241"/>
      <c r="I94" s="29"/>
      <c r="J94" s="425">
        <f t="shared" si="17"/>
        <v>0</v>
      </c>
      <c r="K94" s="471"/>
      <c r="L94" s="697" t="str">
        <f t="shared" si="18"/>
        <v/>
      </c>
      <c r="M94" s="719"/>
      <c r="N94" s="720"/>
      <c r="O94" s="720"/>
      <c r="P94" s="720"/>
      <c r="Q94" s="720"/>
      <c r="R94" s="720"/>
      <c r="S94" s="720"/>
      <c r="T94" s="721"/>
      <c r="U94" s="71"/>
      <c r="V94" s="464"/>
      <c r="W94" s="476"/>
      <c r="X94" s="522"/>
      <c r="Y94" s="522"/>
      <c r="Z94" s="522"/>
      <c r="AA94" s="522"/>
      <c r="AB94" s="522"/>
    </row>
    <row r="95" spans="1:28" ht="60" x14ac:dyDescent="0.25">
      <c r="A95" s="646" t="s">
        <v>334</v>
      </c>
      <c r="B95" s="7">
        <f>IF(  AND(ISNUMBER(C95),OR(ISNUMBER(D95),D95="PG")),IF(IF(Capa!$B$6="B",0,Capa!$B$6)&gt;=C95,1,0),"")</f>
        <v>0</v>
      </c>
      <c r="C95" s="6">
        <f t="shared" si="16"/>
        <v>1</v>
      </c>
      <c r="D95" s="647">
        <v>203</v>
      </c>
      <c r="E95" s="352" t="s">
        <v>344</v>
      </c>
      <c r="F95" s="513"/>
      <c r="G95" s="468"/>
      <c r="H95" s="241"/>
      <c r="I95" s="29"/>
      <c r="J95" s="425">
        <f t="shared" si="17"/>
        <v>0</v>
      </c>
      <c r="K95" s="471"/>
      <c r="L95" s="697" t="str">
        <f t="shared" si="18"/>
        <v/>
      </c>
      <c r="M95" s="719"/>
      <c r="N95" s="720"/>
      <c r="O95" s="720"/>
      <c r="P95" s="720"/>
      <c r="Q95" s="720"/>
      <c r="R95" s="720"/>
      <c r="S95" s="720"/>
      <c r="T95" s="721"/>
      <c r="U95" s="71"/>
      <c r="V95" s="464"/>
      <c r="W95" s="476"/>
      <c r="X95" s="522"/>
      <c r="Y95" s="522"/>
      <c r="Z95" s="522"/>
      <c r="AA95" s="522"/>
      <c r="AB95" s="522"/>
    </row>
    <row r="96" spans="1:28" ht="6" customHeight="1" x14ac:dyDescent="0.25">
      <c r="A96" s="646" t="s">
        <v>334</v>
      </c>
      <c r="B96" s="7" t="str">
        <f>IF(  AND(ISNUMBER(C96),OR(ISNUMBER(D96),D96="PG")),IF(IF(Capa!$B$6="B",0,Capa!$B$6)&gt;=C96,1,0),"")</f>
        <v/>
      </c>
      <c r="C96" s="6">
        <f t="shared" si="16"/>
        <v>2</v>
      </c>
      <c r="D96" s="647" t="s">
        <v>64</v>
      </c>
      <c r="E96" s="352"/>
      <c r="F96" s="513"/>
      <c r="G96" s="468"/>
      <c r="H96" s="241"/>
      <c r="I96" s="29"/>
      <c r="J96" s="425">
        <f t="shared" si="17"/>
        <v>0</v>
      </c>
      <c r="K96" s="471"/>
      <c r="L96" s="697" t="str">
        <f t="shared" si="18"/>
        <v/>
      </c>
      <c r="M96" s="719"/>
      <c r="N96" s="720"/>
      <c r="O96" s="720"/>
      <c r="P96" s="720"/>
      <c r="Q96" s="720"/>
      <c r="R96" s="720"/>
      <c r="S96" s="720"/>
      <c r="T96" s="721"/>
      <c r="U96" s="71"/>
      <c r="V96" s="464"/>
      <c r="W96" s="476"/>
      <c r="X96" s="522"/>
      <c r="Y96" s="522"/>
      <c r="Z96" s="522"/>
      <c r="AA96" s="522"/>
      <c r="AB96" s="522"/>
    </row>
    <row r="97" spans="1:28" ht="60" x14ac:dyDescent="0.25">
      <c r="A97" s="646" t="s">
        <v>334</v>
      </c>
      <c r="B97" s="7">
        <f>IF(  AND(ISNUMBER(C97),OR(ISNUMBER(D97),D97="PG")),IF(IF(Capa!$B$6="B",0,Capa!$B$6)&gt;=C97,1,0),"")</f>
        <v>0</v>
      </c>
      <c r="C97" s="6">
        <f t="shared" si="16"/>
        <v>2</v>
      </c>
      <c r="D97" s="647">
        <v>204</v>
      </c>
      <c r="E97" s="352" t="s">
        <v>345</v>
      </c>
      <c r="F97" s="513"/>
      <c r="G97" s="468"/>
      <c r="H97" s="241"/>
      <c r="I97" s="29"/>
      <c r="J97" s="425">
        <f t="shared" si="17"/>
        <v>0</v>
      </c>
      <c r="K97" s="471"/>
      <c r="L97" s="697" t="str">
        <f t="shared" si="18"/>
        <v/>
      </c>
      <c r="M97" s="719"/>
      <c r="N97" s="720"/>
      <c r="O97" s="720"/>
      <c r="P97" s="720"/>
      <c r="Q97" s="720"/>
      <c r="R97" s="720"/>
      <c r="S97" s="720"/>
      <c r="T97" s="721"/>
      <c r="U97" s="71"/>
      <c r="V97" s="464"/>
      <c r="W97" s="476"/>
      <c r="X97" s="522"/>
      <c r="Y97" s="522"/>
      <c r="Z97" s="522"/>
      <c r="AA97" s="522"/>
      <c r="AB97" s="522"/>
    </row>
    <row r="98" spans="1:28" ht="60" x14ac:dyDescent="0.25">
      <c r="A98" s="646" t="s">
        <v>334</v>
      </c>
      <c r="B98" s="7">
        <f>IF(  AND(ISNUMBER(C98),OR(ISNUMBER(D98),D98="PG")),IF(IF(Capa!$B$6="B",0,Capa!$B$6)&gt;=C98,1,0),"")</f>
        <v>0</v>
      </c>
      <c r="C98" s="6">
        <f t="shared" si="16"/>
        <v>2</v>
      </c>
      <c r="D98" s="647">
        <v>205</v>
      </c>
      <c r="E98" s="411" t="s">
        <v>346</v>
      </c>
      <c r="F98" s="513"/>
      <c r="G98" s="468"/>
      <c r="H98" s="241"/>
      <c r="I98" s="29"/>
      <c r="J98" s="425">
        <f t="shared" si="17"/>
        <v>0</v>
      </c>
      <c r="K98" s="471"/>
      <c r="L98" s="697" t="str">
        <f t="shared" si="18"/>
        <v/>
      </c>
      <c r="M98" s="719"/>
      <c r="N98" s="720"/>
      <c r="O98" s="720"/>
      <c r="P98" s="720"/>
      <c r="Q98" s="720"/>
      <c r="R98" s="720"/>
      <c r="S98" s="720"/>
      <c r="T98" s="721"/>
      <c r="U98" s="71"/>
      <c r="V98" s="464"/>
      <c r="W98" s="476"/>
      <c r="X98" s="522"/>
      <c r="Y98" s="522"/>
      <c r="Z98" s="522"/>
      <c r="AA98" s="522"/>
      <c r="AB98" s="522"/>
    </row>
    <row r="99" spans="1:28" ht="45" x14ac:dyDescent="0.25">
      <c r="A99" s="646" t="s">
        <v>334</v>
      </c>
      <c r="B99" s="7">
        <f>IF(  AND(ISNUMBER(C99),OR(ISNUMBER(D99),D99="PG")),IF(IF(Capa!$B$6="B",0,Capa!$B$6)&gt;=C99,1,0),"")</f>
        <v>0</v>
      </c>
      <c r="C99" s="6">
        <f t="shared" si="16"/>
        <v>2</v>
      </c>
      <c r="D99" s="647">
        <v>206</v>
      </c>
      <c r="E99" s="352" t="s">
        <v>347</v>
      </c>
      <c r="F99" s="513"/>
      <c r="G99" s="468"/>
      <c r="H99" s="241"/>
      <c r="I99" s="29"/>
      <c r="J99" s="425">
        <f t="shared" si="17"/>
        <v>0</v>
      </c>
      <c r="K99" s="471"/>
      <c r="L99" s="697" t="str">
        <f t="shared" si="18"/>
        <v/>
      </c>
      <c r="M99" s="719"/>
      <c r="N99" s="720"/>
      <c r="O99" s="720"/>
      <c r="P99" s="720"/>
      <c r="Q99" s="720"/>
      <c r="R99" s="720"/>
      <c r="S99" s="720"/>
      <c r="T99" s="721"/>
      <c r="U99" s="71"/>
      <c r="V99" s="464"/>
      <c r="W99" s="476"/>
      <c r="X99" s="522"/>
      <c r="Y99" s="522"/>
      <c r="Z99" s="522"/>
      <c r="AA99" s="522"/>
      <c r="AB99" s="522"/>
    </row>
    <row r="100" spans="1:28" ht="6.6" customHeight="1" x14ac:dyDescent="0.25">
      <c r="A100" s="646" t="s">
        <v>334</v>
      </c>
      <c r="B100" s="7" t="str">
        <f>IF(  AND(ISNUMBER(C100),OR(ISNUMBER(D100),D100="PG")),IF(IF(Capa!$B$6="B",0,Capa!$B$6)&gt;=C100,1,0),"")</f>
        <v/>
      </c>
      <c r="C100" s="6">
        <f t="shared" si="16"/>
        <v>3</v>
      </c>
      <c r="D100" s="647" t="s">
        <v>70</v>
      </c>
      <c r="E100" s="352"/>
      <c r="F100" s="513"/>
      <c r="G100" s="468"/>
      <c r="H100" s="241"/>
      <c r="I100" s="29"/>
      <c r="J100" s="425">
        <f t="shared" si="17"/>
        <v>0</v>
      </c>
      <c r="K100" s="471"/>
      <c r="L100" s="697" t="str">
        <f t="shared" si="18"/>
        <v/>
      </c>
      <c r="M100" s="719"/>
      <c r="N100" s="720"/>
      <c r="O100" s="720"/>
      <c r="P100" s="720"/>
      <c r="Q100" s="720"/>
      <c r="R100" s="720"/>
      <c r="S100" s="720"/>
      <c r="T100" s="721"/>
      <c r="U100" s="71"/>
      <c r="V100" s="464"/>
      <c r="W100" s="476"/>
      <c r="X100" s="522"/>
      <c r="Y100" s="522"/>
      <c r="Z100" s="522"/>
      <c r="AA100" s="522"/>
      <c r="AB100" s="522"/>
    </row>
    <row r="101" spans="1:28" ht="60" x14ac:dyDescent="0.25">
      <c r="A101" s="646" t="s">
        <v>334</v>
      </c>
      <c r="B101" s="7">
        <f>IF(  AND(ISNUMBER(C101),OR(ISNUMBER(D101),D101="PG")),IF(IF(Capa!$B$6="B",0,Capa!$B$6)&gt;=C101,1,0),"")</f>
        <v>0</v>
      </c>
      <c r="C101" s="6">
        <f t="shared" si="16"/>
        <v>3</v>
      </c>
      <c r="D101" s="647">
        <v>207</v>
      </c>
      <c r="E101" s="352" t="s">
        <v>348</v>
      </c>
      <c r="F101" s="513"/>
      <c r="G101" s="468"/>
      <c r="H101" s="241"/>
      <c r="I101" s="29"/>
      <c r="J101" s="425">
        <f t="shared" si="17"/>
        <v>0</v>
      </c>
      <c r="K101" s="471"/>
      <c r="L101" s="697" t="str">
        <f t="shared" si="18"/>
        <v/>
      </c>
      <c r="M101" s="719"/>
      <c r="N101" s="720"/>
      <c r="O101" s="720"/>
      <c r="P101" s="720"/>
      <c r="Q101" s="720"/>
      <c r="R101" s="720"/>
      <c r="S101" s="720"/>
      <c r="T101" s="721"/>
      <c r="U101" s="71"/>
      <c r="V101" s="464"/>
      <c r="W101" s="476"/>
      <c r="X101" s="522"/>
      <c r="Y101" s="522"/>
      <c r="Z101" s="522"/>
      <c r="AA101" s="522"/>
      <c r="AB101" s="522"/>
    </row>
    <row r="102" spans="1:28" ht="5.85" customHeight="1" x14ac:dyDescent="0.25">
      <c r="B102" s="7" t="str">
        <f>IF(  AND(ISNUMBER(C102),OR(ISNUMBER(D102),D102="PG")),IF(IF(Capa!$B$6="B",0,Capa!$B$6)&gt;=C102,1,0),"")</f>
        <v/>
      </c>
      <c r="C102" s="6" t="str">
        <f t="shared" si="16"/>
        <v/>
      </c>
      <c r="D102" s="225"/>
      <c r="E102" s="226"/>
      <c r="F102" s="123"/>
      <c r="G102" s="227"/>
      <c r="H102" s="227"/>
      <c r="I102" s="123"/>
      <c r="J102" s="227"/>
      <c r="K102" s="692"/>
      <c r="L102" s="227"/>
      <c r="M102" s="119"/>
      <c r="N102" s="119"/>
      <c r="O102" s="119"/>
      <c r="P102" s="119"/>
      <c r="Q102" s="119"/>
      <c r="R102" s="119"/>
      <c r="S102" s="229"/>
      <c r="T102" s="229"/>
      <c r="U102" s="454"/>
      <c r="V102" s="536"/>
      <c r="W102" s="121"/>
      <c r="X102" s="522"/>
      <c r="Y102" s="522"/>
      <c r="Z102" s="522"/>
      <c r="AA102" s="522"/>
      <c r="AB102" s="522"/>
    </row>
    <row r="103" spans="1:28" x14ac:dyDescent="0.25">
      <c r="A103" s="210" t="s">
        <v>349</v>
      </c>
      <c r="B103" s="7" t="str">
        <f>IF(  AND(ISNUMBER(C103),OR(ISNUMBER(D103),D103="PG")),IF(IF(Capa!$B$6="B",0,Capa!$B$6)&gt;=C103,1,0),"")</f>
        <v/>
      </c>
      <c r="C103" s="6" t="str">
        <f t="shared" si="16"/>
        <v/>
      </c>
      <c r="D103" s="15"/>
      <c r="E103" s="395" t="s">
        <v>350</v>
      </c>
      <c r="F103" s="517"/>
      <c r="G103" s="532"/>
      <c r="H103" s="219"/>
      <c r="I103" s="23"/>
      <c r="J103" s="219"/>
      <c r="K103" s="528"/>
      <c r="L103" s="383">
        <f>IF(AND($B105=1,D105="PG"),IF(COUNTIFS($A$1:$A$235,"="&amp;$A103,$B$1:$B$235,"&gt;0",$D$1:$D$235,"&gt;0")&gt;0,
        (COUNTIFS($A$1:$A$235,"="&amp;$A103,$B$1:$B$235,"&gt;0",$D$1:$D$235,"&gt;0",F$1:F$235,"=S",I$1:I$235,"") +
         (COUNTIFS($A$1:$A$235,"="&amp;$A103,$B$1:$B$235,"&gt;0",$D$1:$D$235,"&gt;0",$F$1:$F$235,"=P",I$1:I$235,"")/2) +
         COUNTIFS($A$1:$A$235,"="&amp;$A103,$B$1:$B$235,"&gt;0",$D$1:$D$235,"&gt;0",I$1:I$235,"=S") +
         (COUNTIFS($A$1:$A$235,"="&amp;$A103,$B$1:$B$235,"&gt;0",$D$1:$D$235,"&gt;0",I$1:I$235,"=P")/2)
         )/COUNTIFS($A$1:$A$235,"="&amp;$A103,$B$1:$B$235,"&gt;0",$D$1:$D$235,"&gt;0"),1),"")</f>
        <v>0</v>
      </c>
      <c r="M103" s="380"/>
      <c r="N103" s="70"/>
      <c r="O103" s="68"/>
      <c r="P103" s="68"/>
      <c r="Q103" s="83">
        <f>IF(L103="","",MIN(IF(ISBLANK(Q105),0,Q105),IF(L103&gt;0.9,4,IF(L103&gt;0.5,3,IF(L103&gt;0.3,2,IF(OR(L103&gt;0,Q105&gt;0),1,0))))))</f>
        <v>0</v>
      </c>
      <c r="R103" s="70"/>
      <c r="S103" s="260"/>
      <c r="T103" s="260"/>
      <c r="U103" s="260"/>
      <c r="V103" s="537"/>
      <c r="W103" s="66"/>
      <c r="X103" s="579"/>
      <c r="Y103" s="579"/>
      <c r="Z103" s="579"/>
      <c r="AA103" s="579"/>
      <c r="AB103" s="579"/>
    </row>
    <row r="104" spans="1:28" ht="7.7" customHeight="1" x14ac:dyDescent="0.25">
      <c r="A104" s="210" t="s">
        <v>349</v>
      </c>
      <c r="B104" s="7" t="str">
        <f>IF(  AND(ISNUMBER(C104),OR(ISNUMBER(D104),D104="PG")),IF(IF(Capa!$B$6="B",0,Capa!$B$6)&gt;=C104,1,0),"")</f>
        <v/>
      </c>
      <c r="C104" s="6">
        <f t="shared" si="16"/>
        <v>0</v>
      </c>
      <c r="D104" s="18" t="s">
        <v>53</v>
      </c>
      <c r="E104" s="394"/>
      <c r="F104" s="516"/>
      <c r="G104" s="533"/>
      <c r="H104" s="239"/>
      <c r="I104" s="26"/>
      <c r="J104" s="239"/>
      <c r="K104" s="529"/>
      <c r="L104" s="242"/>
      <c r="M104" s="59"/>
      <c r="N104" s="59"/>
      <c r="O104" s="59"/>
      <c r="P104" s="59"/>
      <c r="Q104" s="59"/>
      <c r="R104" s="59"/>
      <c r="S104" s="262"/>
      <c r="T104" s="262"/>
      <c r="U104" s="355"/>
      <c r="V104" s="538"/>
      <c r="W104" s="478"/>
      <c r="X104" s="522"/>
      <c r="Y104" s="522"/>
      <c r="Z104" s="522"/>
      <c r="AA104" s="522"/>
      <c r="AB104" s="522"/>
    </row>
    <row r="105" spans="1:28" ht="63.75" x14ac:dyDescent="0.25">
      <c r="A105" s="646" t="s">
        <v>349</v>
      </c>
      <c r="B105" s="7">
        <f>IF(  AND(ISNUMBER(C105),OR(ISNUMBER(D105),D105="PG")),IF(IF(Capa!$B$6="B",0,Capa!$B$6)&gt;=C105,1,0),"")</f>
        <v>1</v>
      </c>
      <c r="C105" s="6">
        <f t="shared" si="16"/>
        <v>0</v>
      </c>
      <c r="D105" s="647" t="s">
        <v>54</v>
      </c>
      <c r="E105" s="389" t="s">
        <v>351</v>
      </c>
      <c r="F105" s="513"/>
      <c r="G105" s="468"/>
      <c r="H105" s="241"/>
      <c r="I105" s="29"/>
      <c r="J105" s="239"/>
      <c r="K105" s="471"/>
      <c r="L105" s="697" t="str">
        <f>IF(OR(AND(NOT(ISBLANK(M105)),M105&lt;IF(Capa!$B$6&lt;&gt;"B",Capa!$B$6+1,1)),AND(NOT(ISBLANK(N105)),N105&lt;IF(Capa!$B$6&lt;&gt;"B",Capa!$B$6+1,1)),AND(NOT(ISBLANK(O105)),O105&lt;IF(Capa!$B$6&lt;&gt;"B",Capa!$B$6+1,1)),AND(NOT(ISBLANK(Q105)),Q105&lt;IF(Capa!$B$6&lt;&gt;"B",Capa!$B$6+1,1)),AND(NOT(ISBLANK(R105)),R105&lt;IF(Capa!$B$6&lt;&gt;"B",Capa!$B$6+1,1)),AND(NOT(ISBLANK(S105)),S105&lt;IF(Capa!$B$6&lt;&gt;"B",Capa!$B$6+1,1))),1,"")</f>
        <v/>
      </c>
      <c r="M105" s="81"/>
      <c r="N105" s="81"/>
      <c r="O105" s="81"/>
      <c r="P105" s="81"/>
      <c r="Q105" s="81"/>
      <c r="R105" s="81"/>
      <c r="S105" s="81"/>
      <c r="T105" s="81"/>
      <c r="U105" s="58"/>
      <c r="V105" s="464"/>
      <c r="W105" s="476"/>
      <c r="X105" s="666"/>
      <c r="Y105" s="522"/>
      <c r="Z105" s="522"/>
      <c r="AA105" s="522"/>
      <c r="AB105" s="522"/>
    </row>
    <row r="106" spans="1:28" ht="40.9" customHeight="1" x14ac:dyDescent="0.25">
      <c r="A106" s="646" t="s">
        <v>349</v>
      </c>
      <c r="B106" s="7">
        <f>IF(  AND(ISNUMBER(C106),OR(ISNUMBER(D106),D106="PG")),IF(IF(Capa!$B$6="B",0,Capa!$B$6)&gt;=C106,1,0),"")</f>
        <v>1</v>
      </c>
      <c r="C106" s="6">
        <f t="shared" si="16"/>
        <v>0</v>
      </c>
      <c r="D106" s="647">
        <v>208</v>
      </c>
      <c r="E106" s="352" t="s">
        <v>352</v>
      </c>
      <c r="F106" s="513"/>
      <c r="G106" s="468"/>
      <c r="H106" s="241"/>
      <c r="I106" s="29"/>
      <c r="J106" s="425">
        <f t="shared" ref="J106:J113" si="19">LEN(K106)</f>
        <v>0</v>
      </c>
      <c r="K106" s="471"/>
      <c r="L106" s="697" t="str">
        <f t="shared" ref="L106:L113" si="20">IF(OR(I106="N",I106="P"),1,"")</f>
        <v/>
      </c>
      <c r="M106" s="719"/>
      <c r="N106" s="720"/>
      <c r="O106" s="720"/>
      <c r="P106" s="720"/>
      <c r="Q106" s="720"/>
      <c r="R106" s="720"/>
      <c r="S106" s="720"/>
      <c r="T106" s="721"/>
      <c r="U106" s="71"/>
      <c r="V106" s="464"/>
      <c r="W106" s="476"/>
      <c r="X106" s="522"/>
      <c r="Y106" s="522"/>
      <c r="Z106" s="522"/>
      <c r="AA106" s="522"/>
      <c r="AB106" s="522"/>
    </row>
    <row r="107" spans="1:28" ht="9.6" customHeight="1" x14ac:dyDescent="0.25">
      <c r="A107" s="646" t="s">
        <v>349</v>
      </c>
      <c r="B107" s="7" t="str">
        <f>IF(  AND(ISNUMBER(C107),OR(ISNUMBER(D107),D107="PG")),IF(IF(Capa!$B$6="B",0,Capa!$B$6)&gt;=C107,1,0),"")</f>
        <v/>
      </c>
      <c r="C107" s="6">
        <f t="shared" si="16"/>
        <v>2</v>
      </c>
      <c r="D107" s="647" t="s">
        <v>64</v>
      </c>
      <c r="E107" s="352"/>
      <c r="F107" s="513"/>
      <c r="G107" s="468"/>
      <c r="H107" s="241"/>
      <c r="I107" s="29"/>
      <c r="J107" s="425">
        <f t="shared" si="19"/>
        <v>0</v>
      </c>
      <c r="K107" s="471"/>
      <c r="L107" s="697" t="str">
        <f t="shared" si="20"/>
        <v/>
      </c>
      <c r="M107" s="719"/>
      <c r="N107" s="720"/>
      <c r="O107" s="720"/>
      <c r="P107" s="720"/>
      <c r="Q107" s="720"/>
      <c r="R107" s="720"/>
      <c r="S107" s="720"/>
      <c r="T107" s="721"/>
      <c r="U107" s="71"/>
      <c r="V107" s="464"/>
      <c r="W107" s="476"/>
      <c r="X107" s="522"/>
      <c r="Y107" s="522"/>
      <c r="Z107" s="522"/>
      <c r="AA107" s="522"/>
      <c r="AB107" s="522"/>
    </row>
    <row r="108" spans="1:28" ht="74.45" customHeight="1" x14ac:dyDescent="0.25">
      <c r="A108" s="646" t="s">
        <v>349</v>
      </c>
      <c r="B108" s="7">
        <f>IF(  AND(ISNUMBER(C108),OR(ISNUMBER(D108),D108="PG")),IF(IF(Capa!$B$6="B",0,Capa!$B$6)&gt;=C108,1,0),"")</f>
        <v>0</v>
      </c>
      <c r="C108" s="6">
        <f t="shared" si="16"/>
        <v>2</v>
      </c>
      <c r="D108" s="647">
        <v>209</v>
      </c>
      <c r="E108" s="352" t="s">
        <v>353</v>
      </c>
      <c r="F108" s="513"/>
      <c r="G108" s="468"/>
      <c r="H108" s="241"/>
      <c r="I108" s="29"/>
      <c r="J108" s="425">
        <f t="shared" si="19"/>
        <v>0</v>
      </c>
      <c r="K108" s="471"/>
      <c r="L108" s="697" t="str">
        <f t="shared" si="20"/>
        <v/>
      </c>
      <c r="M108" s="719"/>
      <c r="N108" s="720"/>
      <c r="O108" s="720"/>
      <c r="P108" s="720"/>
      <c r="Q108" s="720"/>
      <c r="R108" s="720"/>
      <c r="S108" s="720"/>
      <c r="T108" s="721"/>
      <c r="U108" s="71"/>
      <c r="V108" s="464"/>
      <c r="W108" s="476"/>
      <c r="X108" s="522"/>
      <c r="Y108" s="522"/>
      <c r="Z108" s="522"/>
      <c r="AA108" s="522"/>
      <c r="AB108" s="522"/>
    </row>
    <row r="109" spans="1:28" ht="30" x14ac:dyDescent="0.25">
      <c r="A109" s="646" t="s">
        <v>349</v>
      </c>
      <c r="B109" s="7">
        <f>IF(  AND(ISNUMBER(C109),OR(ISNUMBER(D109),D109="PG")),IF(IF(Capa!$B$6="B",0,Capa!$B$6)&gt;=C109,1,0),"")</f>
        <v>0</v>
      </c>
      <c r="C109" s="6">
        <f t="shared" si="16"/>
        <v>2</v>
      </c>
      <c r="D109" s="647">
        <v>210</v>
      </c>
      <c r="E109" s="352" t="s">
        <v>354</v>
      </c>
      <c r="F109" s="513"/>
      <c r="G109" s="468"/>
      <c r="H109" s="241"/>
      <c r="I109" s="29"/>
      <c r="J109" s="425">
        <f t="shared" si="19"/>
        <v>0</v>
      </c>
      <c r="K109" s="471"/>
      <c r="L109" s="697" t="str">
        <f t="shared" si="20"/>
        <v/>
      </c>
      <c r="M109" s="719"/>
      <c r="N109" s="720"/>
      <c r="O109" s="720"/>
      <c r="P109" s="720"/>
      <c r="Q109" s="720"/>
      <c r="R109" s="720"/>
      <c r="S109" s="720"/>
      <c r="T109" s="721"/>
      <c r="U109" s="71"/>
      <c r="V109" s="464"/>
      <c r="W109" s="476"/>
      <c r="X109" s="522"/>
      <c r="Y109" s="522"/>
      <c r="Z109" s="522"/>
      <c r="AA109" s="522"/>
      <c r="AB109" s="522"/>
    </row>
    <row r="110" spans="1:28" ht="45" x14ac:dyDescent="0.25">
      <c r="A110" s="646" t="s">
        <v>349</v>
      </c>
      <c r="B110" s="7">
        <f>IF(  AND(ISNUMBER(C110),OR(ISNUMBER(D110),D110="PG")),IF(IF(Capa!$B$6="B",0,Capa!$B$6)&gt;=C110,1,0),"")</f>
        <v>0</v>
      </c>
      <c r="C110" s="6">
        <f t="shared" si="16"/>
        <v>2</v>
      </c>
      <c r="D110" s="647">
        <v>211</v>
      </c>
      <c r="E110" s="411" t="s">
        <v>355</v>
      </c>
      <c r="F110" s="513"/>
      <c r="G110" s="468"/>
      <c r="H110" s="241"/>
      <c r="I110" s="29"/>
      <c r="J110" s="425">
        <f t="shared" si="19"/>
        <v>0</v>
      </c>
      <c r="K110" s="471"/>
      <c r="L110" s="697" t="str">
        <f t="shared" si="20"/>
        <v/>
      </c>
      <c r="M110" s="719"/>
      <c r="N110" s="720"/>
      <c r="O110" s="720"/>
      <c r="P110" s="720"/>
      <c r="Q110" s="720"/>
      <c r="R110" s="720"/>
      <c r="S110" s="720"/>
      <c r="T110" s="721"/>
      <c r="U110" s="71"/>
      <c r="V110" s="464"/>
      <c r="W110" s="476"/>
      <c r="X110" s="522"/>
      <c r="Y110" s="522"/>
      <c r="Z110" s="522"/>
      <c r="AA110" s="522"/>
      <c r="AB110" s="522"/>
    </row>
    <row r="111" spans="1:28" ht="7.35" customHeight="1" x14ac:dyDescent="0.25">
      <c r="A111" s="646" t="s">
        <v>349</v>
      </c>
      <c r="B111" s="7" t="str">
        <f>IF(  AND(ISNUMBER(C111),OR(ISNUMBER(D111),D111="PG")),IF(IF(Capa!$B$6="B",0,Capa!$B$6)&gt;=C111,1,0),"")</f>
        <v/>
      </c>
      <c r="C111" s="6">
        <f t="shared" si="16"/>
        <v>3</v>
      </c>
      <c r="D111" s="647" t="s">
        <v>70</v>
      </c>
      <c r="E111" s="352"/>
      <c r="F111" s="513"/>
      <c r="G111" s="468"/>
      <c r="H111" s="241"/>
      <c r="I111" s="29"/>
      <c r="J111" s="425">
        <f t="shared" si="19"/>
        <v>0</v>
      </c>
      <c r="K111" s="471"/>
      <c r="L111" s="697" t="str">
        <f t="shared" si="20"/>
        <v/>
      </c>
      <c r="M111" s="719"/>
      <c r="N111" s="720"/>
      <c r="O111" s="720"/>
      <c r="P111" s="720"/>
      <c r="Q111" s="720"/>
      <c r="R111" s="720"/>
      <c r="S111" s="720"/>
      <c r="T111" s="721"/>
      <c r="U111" s="71"/>
      <c r="V111" s="464"/>
      <c r="W111" s="476"/>
      <c r="X111" s="522"/>
      <c r="Y111" s="522"/>
      <c r="Z111" s="522"/>
      <c r="AA111" s="522"/>
      <c r="AB111" s="522"/>
    </row>
    <row r="112" spans="1:28" ht="45" x14ac:dyDescent="0.25">
      <c r="A112" s="646" t="s">
        <v>349</v>
      </c>
      <c r="B112" s="7">
        <f>IF(  AND(ISNUMBER(C112),OR(ISNUMBER(D112),D112="PG")),IF(IF(Capa!$B$6="B",0,Capa!$B$6)&gt;=C112,1,0),"")</f>
        <v>0</v>
      </c>
      <c r="C112" s="6">
        <f t="shared" si="16"/>
        <v>3</v>
      </c>
      <c r="D112" s="647">
        <v>212</v>
      </c>
      <c r="E112" s="352" t="s">
        <v>356</v>
      </c>
      <c r="F112" s="513"/>
      <c r="G112" s="468"/>
      <c r="H112" s="241"/>
      <c r="I112" s="29"/>
      <c r="J112" s="425">
        <f t="shared" si="19"/>
        <v>0</v>
      </c>
      <c r="K112" s="471"/>
      <c r="L112" s="697" t="str">
        <f t="shared" si="20"/>
        <v/>
      </c>
      <c r="M112" s="719"/>
      <c r="N112" s="720"/>
      <c r="O112" s="720"/>
      <c r="P112" s="720"/>
      <c r="Q112" s="720"/>
      <c r="R112" s="720"/>
      <c r="S112" s="720"/>
      <c r="T112" s="721"/>
      <c r="U112" s="71"/>
      <c r="V112" s="464"/>
      <c r="W112" s="476"/>
      <c r="X112" s="522"/>
      <c r="Y112" s="522"/>
      <c r="Z112" s="522"/>
      <c r="AA112" s="522"/>
      <c r="AB112" s="522"/>
    </row>
    <row r="113" spans="1:28" ht="45" x14ac:dyDescent="0.25">
      <c r="A113" s="646" t="s">
        <v>349</v>
      </c>
      <c r="B113" s="7">
        <f>IF(  AND(ISNUMBER(C113),OR(ISNUMBER(D113),D113="PG")),IF(IF(Capa!$B$6="B",0,Capa!$B$6)&gt;=C113,1,0),"")</f>
        <v>0</v>
      </c>
      <c r="C113" s="6">
        <f t="shared" si="16"/>
        <v>3</v>
      </c>
      <c r="D113" s="647">
        <v>213</v>
      </c>
      <c r="E113" s="352" t="s">
        <v>357</v>
      </c>
      <c r="F113" s="513"/>
      <c r="G113" s="468"/>
      <c r="H113" s="241"/>
      <c r="I113" s="29"/>
      <c r="J113" s="425">
        <f t="shared" si="19"/>
        <v>0</v>
      </c>
      <c r="K113" s="471"/>
      <c r="L113" s="697" t="str">
        <f t="shared" si="20"/>
        <v/>
      </c>
      <c r="M113" s="719"/>
      <c r="N113" s="720"/>
      <c r="O113" s="720"/>
      <c r="P113" s="720"/>
      <c r="Q113" s="720"/>
      <c r="R113" s="720"/>
      <c r="S113" s="720"/>
      <c r="T113" s="721"/>
      <c r="U113" s="71"/>
      <c r="V113" s="464"/>
      <c r="W113" s="476"/>
      <c r="X113" s="522"/>
      <c r="Y113" s="522"/>
      <c r="Z113" s="522"/>
      <c r="AA113" s="522"/>
      <c r="AB113" s="522"/>
    </row>
    <row r="114" spans="1:28" ht="5.85" customHeight="1" x14ac:dyDescent="0.25">
      <c r="B114" s="7" t="str">
        <f>IF(  AND(ISNUMBER(C114),OR(ISNUMBER(D114),D114="PG")),IF(IF(Capa!$B$6="B",0,Capa!$B$6)&gt;=C114,1,0),"")</f>
        <v/>
      </c>
      <c r="C114" s="6" t="str">
        <f t="shared" si="16"/>
        <v/>
      </c>
      <c r="D114" s="225"/>
      <c r="E114" s="226"/>
      <c r="F114" s="123"/>
      <c r="G114" s="227"/>
      <c r="H114" s="227"/>
      <c r="I114" s="123"/>
      <c r="J114" s="227"/>
      <c r="K114" s="692"/>
      <c r="L114" s="227"/>
      <c r="M114" s="119"/>
      <c r="N114" s="119"/>
      <c r="O114" s="119"/>
      <c r="P114" s="119"/>
      <c r="Q114" s="119"/>
      <c r="R114" s="119"/>
      <c r="S114" s="229"/>
      <c r="T114" s="229"/>
      <c r="U114" s="454"/>
      <c r="V114" s="536"/>
      <c r="W114" s="121"/>
      <c r="X114" s="522"/>
      <c r="Y114" s="522"/>
      <c r="Z114" s="522"/>
      <c r="AA114" s="522"/>
      <c r="AB114" s="522"/>
    </row>
    <row r="115" spans="1:28" x14ac:dyDescent="0.25">
      <c r="A115" s="210" t="s">
        <v>358</v>
      </c>
      <c r="B115" s="7" t="str">
        <f>IF(  AND(ISNUMBER(C115),OR(ISNUMBER(D115),D115="PG")),IF(IF(Capa!$B$6="B",0,Capa!$B$6)&gt;=C115,1,0),"")</f>
        <v/>
      </c>
      <c r="C115" s="6" t="str">
        <f t="shared" si="16"/>
        <v/>
      </c>
      <c r="D115" s="15"/>
      <c r="E115" s="395" t="s">
        <v>359</v>
      </c>
      <c r="F115" s="517"/>
      <c r="G115" s="532"/>
      <c r="H115" s="219"/>
      <c r="I115" s="23"/>
      <c r="J115" s="219"/>
      <c r="K115" s="528"/>
      <c r="L115" s="383">
        <f>IF(AND($B117=1,D117="PG"),IF(COUNTIFS($A$1:$A$235,"="&amp;$A115,$B$1:$B$235,"&gt;0",$D$1:$D$235,"&gt;0")&gt;0,
        (COUNTIFS($A$1:$A$235,"="&amp;$A115,$B$1:$B$235,"&gt;0",$D$1:$D$235,"&gt;0",F$1:F$235,"=S",I$1:I$235,"") +
         (COUNTIFS($A$1:$A$235,"="&amp;$A115,$B$1:$B$235,"&gt;0",$D$1:$D$235,"&gt;0",$F$1:$F$235,"=P",I$1:I$235,"")/2) +
         COUNTIFS($A$1:$A$235,"="&amp;$A115,$B$1:$B$235,"&gt;0",$D$1:$D$235,"&gt;0",I$1:I$235,"=S") +
         (COUNTIFS($A$1:$A$235,"="&amp;$A115,$B$1:$B$235,"&gt;0",$D$1:$D$235,"&gt;0",I$1:I$235,"=P")/2)
         )/COUNTIFS($A$1:$A$235,"="&amp;$A115,$B$1:$B$235,"&gt;0",$D$1:$D$235,"&gt;0"),1),"")</f>
        <v>1</v>
      </c>
      <c r="M115" s="380"/>
      <c r="N115" s="70"/>
      <c r="O115" s="68"/>
      <c r="P115" s="68"/>
      <c r="Q115" s="83">
        <f>IF(L115="","",MIN(IF(ISBLANK(Q117),0,Q117),IF(L115&gt;0.9,4,IF(L115&gt;0.5,3,IF(L115&gt;0.3,2,IF(OR(L115&gt;0,Q117&gt;0),1,0))))))</f>
        <v>0</v>
      </c>
      <c r="R115" s="70"/>
      <c r="S115" s="260"/>
      <c r="T115" s="260"/>
      <c r="U115" s="260"/>
      <c r="V115" s="537"/>
      <c r="W115" s="66"/>
      <c r="X115" s="579"/>
      <c r="Y115" s="579"/>
      <c r="Z115" s="579"/>
      <c r="AA115" s="579"/>
      <c r="AB115" s="579"/>
    </row>
    <row r="116" spans="1:28" ht="5.45" customHeight="1" x14ac:dyDescent="0.25">
      <c r="A116" s="210" t="s">
        <v>358</v>
      </c>
      <c r="B116" s="7" t="str">
        <f>IF(  AND(ISNUMBER(C116),OR(ISNUMBER(D116),D116="PG")),IF(IF(Capa!$B$6="B",0,Capa!$B$6)&gt;=C116,1,0),"")</f>
        <v/>
      </c>
      <c r="C116" s="6">
        <f t="shared" si="16"/>
        <v>0</v>
      </c>
      <c r="D116" s="18" t="s">
        <v>53</v>
      </c>
      <c r="E116" s="394"/>
      <c r="F116" s="516"/>
      <c r="G116" s="533"/>
      <c r="H116" s="239"/>
      <c r="I116" s="27"/>
      <c r="J116" s="239"/>
      <c r="K116" s="529"/>
      <c r="L116" s="242"/>
      <c r="M116" s="65"/>
      <c r="N116" s="65"/>
      <c r="O116" s="65"/>
      <c r="P116" s="65"/>
      <c r="Q116" s="65"/>
      <c r="R116" s="65"/>
      <c r="S116" s="288"/>
      <c r="T116" s="288"/>
      <c r="U116" s="460"/>
      <c r="V116" s="540"/>
      <c r="W116" s="577"/>
      <c r="X116" s="522"/>
      <c r="Y116" s="522"/>
      <c r="Z116" s="522"/>
      <c r="AA116" s="522"/>
      <c r="AB116" s="522"/>
    </row>
    <row r="117" spans="1:28" ht="72" customHeight="1" x14ac:dyDescent="0.25">
      <c r="A117" s="646" t="s">
        <v>358</v>
      </c>
      <c r="B117" s="7">
        <f>IF(  AND(ISNUMBER(C117),OR(ISNUMBER(D117),D117="PG")),IF(IF(Capa!$B$6="B",0,Capa!$B$6)&gt;=C117,1,0),"")</f>
        <v>1</v>
      </c>
      <c r="C117" s="6">
        <f t="shared" si="16"/>
        <v>0</v>
      </c>
      <c r="D117" s="647" t="s">
        <v>54</v>
      </c>
      <c r="E117" s="389" t="s">
        <v>360</v>
      </c>
      <c r="F117" s="513"/>
      <c r="G117" s="468"/>
      <c r="H117" s="241"/>
      <c r="I117" s="29"/>
      <c r="J117" s="239"/>
      <c r="K117" s="471"/>
      <c r="L117" s="697" t="str">
        <f>IF(OR(AND(NOT(ISBLANK(M117)),M117&lt;IF(Capa!$B$6&lt;&gt;"B",Capa!$B$6+1,1)),AND(NOT(ISBLANK(N117)),N117&lt;IF(Capa!$B$6&lt;&gt;"B",Capa!$B$6+1,1)),AND(NOT(ISBLANK(O117)),O117&lt;IF(Capa!$B$6&lt;&gt;"B",Capa!$B$6+1,1)),AND(NOT(ISBLANK(Q117)),Q117&lt;IF(Capa!$B$6&lt;&gt;"B",Capa!$B$6+1,1)),AND(NOT(ISBLANK(R117)),R117&lt;IF(Capa!$B$6&lt;&gt;"B",Capa!$B$6+1,1)),AND(NOT(ISBLANK(S117)),S117&lt;IF(Capa!$B$6&lt;&gt;"B",Capa!$B$6+1,1))),1,"")</f>
        <v/>
      </c>
      <c r="M117" s="81"/>
      <c r="N117" s="81"/>
      <c r="O117" s="81"/>
      <c r="P117" s="81"/>
      <c r="Q117" s="81"/>
      <c r="R117" s="81"/>
      <c r="S117" s="81"/>
      <c r="T117" s="81"/>
      <c r="U117" s="58"/>
      <c r="V117" s="464"/>
      <c r="W117" s="476"/>
      <c r="X117" s="667"/>
      <c r="Y117" s="522"/>
      <c r="Z117" s="522"/>
      <c r="AA117" s="522"/>
      <c r="AB117" s="522"/>
    </row>
    <row r="118" spans="1:28" ht="7.7" customHeight="1" x14ac:dyDescent="0.25">
      <c r="A118" s="646" t="s">
        <v>358</v>
      </c>
      <c r="B118" s="7" t="str">
        <f>IF(  AND(ISNUMBER(C118),OR(ISNUMBER(D118),D118="PG")),IF(IF(Capa!$B$6="B",0,Capa!$B$6)&gt;=C118,1,0),"")</f>
        <v/>
      </c>
      <c r="C118" s="6">
        <f t="shared" si="16"/>
        <v>1</v>
      </c>
      <c r="D118" s="647" t="s">
        <v>62</v>
      </c>
      <c r="E118" s="391"/>
      <c r="F118" s="513"/>
      <c r="G118" s="468"/>
      <c r="H118" s="241"/>
      <c r="I118" s="29"/>
      <c r="J118" s="239"/>
      <c r="K118" s="471"/>
      <c r="L118" s="242"/>
      <c r="M118" s="57"/>
      <c r="N118" s="56"/>
      <c r="O118" s="56"/>
      <c r="P118" s="56"/>
      <c r="Q118" s="56"/>
      <c r="R118" s="56"/>
      <c r="S118" s="58"/>
      <c r="T118" s="58"/>
      <c r="U118" s="58"/>
      <c r="V118" s="464"/>
      <c r="W118" s="476"/>
      <c r="X118" s="522"/>
      <c r="Y118" s="522"/>
      <c r="Z118" s="522"/>
      <c r="AA118" s="522"/>
      <c r="AB118" s="522"/>
    </row>
    <row r="119" spans="1:28" ht="52.35" customHeight="1" x14ac:dyDescent="0.25">
      <c r="A119" s="646" t="s">
        <v>358</v>
      </c>
      <c r="B119" s="7">
        <f>IF(  AND(ISNUMBER(C119),OR(ISNUMBER(D119),D119="PG")),IF(IF(Capa!$B$6="B",0,Capa!$B$6)&gt;=C119,1,0),"")</f>
        <v>0</v>
      </c>
      <c r="C119" s="6">
        <f t="shared" si="16"/>
        <v>1</v>
      </c>
      <c r="D119" s="647">
        <v>214</v>
      </c>
      <c r="E119" s="411" t="s">
        <v>361</v>
      </c>
      <c r="F119" s="513"/>
      <c r="G119" s="468"/>
      <c r="H119" s="241"/>
      <c r="I119" s="29"/>
      <c r="J119" s="425">
        <f t="shared" ref="J119:J125" si="21">LEN(K119)</f>
        <v>0</v>
      </c>
      <c r="K119" s="471"/>
      <c r="L119" s="697" t="str">
        <f t="shared" ref="L119:L125" si="22">IF(OR(I119="N",I119="P"),1,"")</f>
        <v/>
      </c>
      <c r="M119" s="719"/>
      <c r="N119" s="720"/>
      <c r="O119" s="720"/>
      <c r="P119" s="720"/>
      <c r="Q119" s="720"/>
      <c r="R119" s="720"/>
      <c r="S119" s="720"/>
      <c r="T119" s="721"/>
      <c r="U119" s="71"/>
      <c r="V119" s="464"/>
      <c r="W119" s="476"/>
      <c r="X119" s="522"/>
      <c r="Y119" s="522"/>
      <c r="Z119" s="522"/>
      <c r="AA119" s="522"/>
      <c r="AB119" s="522"/>
    </row>
    <row r="120" spans="1:28" ht="7.35" customHeight="1" x14ac:dyDescent="0.25">
      <c r="A120" s="646" t="s">
        <v>358</v>
      </c>
      <c r="B120" s="7" t="str">
        <f>IF(  AND(ISNUMBER(C120),OR(ISNUMBER(D120),D120="PG")),IF(IF(Capa!$B$6="B",0,Capa!$B$6)&gt;=C120,1,0),"")</f>
        <v/>
      </c>
      <c r="C120" s="6">
        <f t="shared" si="16"/>
        <v>2</v>
      </c>
      <c r="D120" s="647" t="s">
        <v>64</v>
      </c>
      <c r="E120" s="352"/>
      <c r="F120" s="513"/>
      <c r="G120" s="468"/>
      <c r="H120" s="241"/>
      <c r="I120" s="29"/>
      <c r="J120" s="425">
        <f t="shared" si="21"/>
        <v>0</v>
      </c>
      <c r="K120" s="471"/>
      <c r="L120" s="697" t="str">
        <f t="shared" si="22"/>
        <v/>
      </c>
      <c r="M120" s="719"/>
      <c r="N120" s="720"/>
      <c r="O120" s="720"/>
      <c r="P120" s="720"/>
      <c r="Q120" s="720"/>
      <c r="R120" s="720"/>
      <c r="S120" s="720"/>
      <c r="T120" s="721"/>
      <c r="U120" s="71"/>
      <c r="V120" s="464"/>
      <c r="W120" s="476"/>
      <c r="X120" s="522"/>
      <c r="Y120" s="522"/>
      <c r="Z120" s="522"/>
      <c r="AA120" s="522"/>
      <c r="AB120" s="522"/>
    </row>
    <row r="121" spans="1:28" ht="60" x14ac:dyDescent="0.25">
      <c r="A121" s="646" t="s">
        <v>358</v>
      </c>
      <c r="B121" s="7">
        <f>IF(  AND(ISNUMBER(C121),OR(ISNUMBER(D121),D121="PG")),IF(IF(Capa!$B$6="B",0,Capa!$B$6)&gt;=C121,1,0),"")</f>
        <v>0</v>
      </c>
      <c r="C121" s="6">
        <f t="shared" si="16"/>
        <v>2</v>
      </c>
      <c r="D121" s="647">
        <v>215</v>
      </c>
      <c r="E121" s="352" t="s">
        <v>362</v>
      </c>
      <c r="F121" s="513"/>
      <c r="G121" s="468"/>
      <c r="H121" s="241"/>
      <c r="I121" s="29"/>
      <c r="J121" s="425">
        <f t="shared" si="21"/>
        <v>0</v>
      </c>
      <c r="K121" s="471"/>
      <c r="L121" s="697" t="str">
        <f t="shared" si="22"/>
        <v/>
      </c>
      <c r="M121" s="719"/>
      <c r="N121" s="720"/>
      <c r="O121" s="720"/>
      <c r="P121" s="720"/>
      <c r="Q121" s="720"/>
      <c r="R121" s="720"/>
      <c r="S121" s="720"/>
      <c r="T121" s="721"/>
      <c r="U121" s="71"/>
      <c r="V121" s="464"/>
      <c r="W121" s="476"/>
      <c r="X121" s="522"/>
      <c r="Y121" s="522"/>
      <c r="Z121" s="522"/>
      <c r="AA121" s="522"/>
      <c r="AB121" s="522"/>
    </row>
    <row r="122" spans="1:28" ht="5.45" customHeight="1" x14ac:dyDescent="0.25">
      <c r="A122" s="646" t="s">
        <v>358</v>
      </c>
      <c r="B122" s="7" t="str">
        <f>IF(  AND(ISNUMBER(C122),OR(ISNUMBER(D122),D122="PG")),IF(IF(Capa!$B$6="B",0,Capa!$B$6)&gt;=C122,1,0),"")</f>
        <v/>
      </c>
      <c r="C122" s="6">
        <f t="shared" si="16"/>
        <v>3</v>
      </c>
      <c r="D122" s="647" t="s">
        <v>70</v>
      </c>
      <c r="E122" s="352"/>
      <c r="F122" s="513"/>
      <c r="G122" s="468"/>
      <c r="H122" s="241"/>
      <c r="I122" s="29"/>
      <c r="J122" s="425">
        <f t="shared" si="21"/>
        <v>0</v>
      </c>
      <c r="K122" s="471"/>
      <c r="L122" s="697" t="str">
        <f t="shared" si="22"/>
        <v/>
      </c>
      <c r="M122" s="719"/>
      <c r="N122" s="720"/>
      <c r="O122" s="720"/>
      <c r="P122" s="720"/>
      <c r="Q122" s="720"/>
      <c r="R122" s="720"/>
      <c r="S122" s="720"/>
      <c r="T122" s="721"/>
      <c r="U122" s="71"/>
      <c r="V122" s="464"/>
      <c r="W122" s="476"/>
      <c r="X122" s="522"/>
      <c r="Y122" s="522"/>
      <c r="Z122" s="522"/>
      <c r="AA122" s="522"/>
      <c r="AB122" s="522"/>
    </row>
    <row r="123" spans="1:28" ht="111.75" customHeight="1" x14ac:dyDescent="0.25">
      <c r="A123" s="646" t="s">
        <v>358</v>
      </c>
      <c r="B123" s="7">
        <f>IF(  AND(ISNUMBER(C123),OR(ISNUMBER(D123),D123="PG")),IF(IF(Capa!$B$6="B",0,Capa!$B$6)&gt;=C123,1,0),"")</f>
        <v>0</v>
      </c>
      <c r="C123" s="6">
        <f t="shared" si="16"/>
        <v>3</v>
      </c>
      <c r="D123" s="647">
        <v>216</v>
      </c>
      <c r="E123" s="352" t="s">
        <v>363</v>
      </c>
      <c r="F123" s="513"/>
      <c r="G123" s="468"/>
      <c r="H123" s="241"/>
      <c r="I123" s="29"/>
      <c r="J123" s="425">
        <f t="shared" si="21"/>
        <v>0</v>
      </c>
      <c r="K123" s="471"/>
      <c r="L123" s="697" t="str">
        <f t="shared" si="22"/>
        <v/>
      </c>
      <c r="M123" s="719"/>
      <c r="N123" s="720"/>
      <c r="O123" s="720"/>
      <c r="P123" s="720"/>
      <c r="Q123" s="720"/>
      <c r="R123" s="720"/>
      <c r="S123" s="720"/>
      <c r="T123" s="721"/>
      <c r="U123" s="71"/>
      <c r="V123" s="464"/>
      <c r="W123" s="476"/>
      <c r="X123" s="522"/>
      <c r="Y123" s="522"/>
      <c r="Z123" s="522"/>
      <c r="AA123" s="522"/>
      <c r="AB123" s="522"/>
    </row>
    <row r="124" spans="1:28" ht="108.75" customHeight="1" x14ac:dyDescent="0.25">
      <c r="A124" s="646" t="s">
        <v>358</v>
      </c>
      <c r="B124" s="7">
        <f>IF(  AND(ISNUMBER(C124),OR(ISNUMBER(D124),D124="PG")),IF(IF(Capa!$B$6="B",0,Capa!$B$6)&gt;=C124,1,0),"")</f>
        <v>0</v>
      </c>
      <c r="C124" s="6">
        <f t="shared" si="16"/>
        <v>3</v>
      </c>
      <c r="D124" s="647">
        <v>217</v>
      </c>
      <c r="E124" s="352" t="s">
        <v>364</v>
      </c>
      <c r="F124" s="513"/>
      <c r="G124" s="468"/>
      <c r="H124" s="241"/>
      <c r="I124" s="29"/>
      <c r="J124" s="425">
        <f t="shared" si="21"/>
        <v>0</v>
      </c>
      <c r="K124" s="471"/>
      <c r="L124" s="697" t="str">
        <f t="shared" si="22"/>
        <v/>
      </c>
      <c r="M124" s="719"/>
      <c r="N124" s="720"/>
      <c r="O124" s="720"/>
      <c r="P124" s="720"/>
      <c r="Q124" s="720"/>
      <c r="R124" s="720"/>
      <c r="S124" s="720"/>
      <c r="T124" s="721"/>
      <c r="U124" s="71"/>
      <c r="V124" s="464"/>
      <c r="W124" s="476"/>
      <c r="X124" s="522"/>
      <c r="Y124" s="522"/>
      <c r="Z124" s="522"/>
      <c r="AA124" s="522"/>
      <c r="AB124" s="522"/>
    </row>
    <row r="125" spans="1:28" ht="75" customHeight="1" x14ac:dyDescent="0.25">
      <c r="A125" s="646" t="s">
        <v>358</v>
      </c>
      <c r="B125" s="7">
        <f>IF(  AND(ISNUMBER(C125),OR(ISNUMBER(D125),D125="PG")),IF(IF(Capa!$B$6="B",0,Capa!$B$6)&gt;=C125,1,0),"")</f>
        <v>0</v>
      </c>
      <c r="C125" s="6">
        <f t="shared" si="16"/>
        <v>3</v>
      </c>
      <c r="D125" s="647">
        <v>218</v>
      </c>
      <c r="E125" s="411" t="s">
        <v>365</v>
      </c>
      <c r="F125" s="513"/>
      <c r="G125" s="468"/>
      <c r="H125" s="241"/>
      <c r="I125" s="29"/>
      <c r="J125" s="425">
        <f t="shared" si="21"/>
        <v>0</v>
      </c>
      <c r="K125" s="471"/>
      <c r="L125" s="697" t="str">
        <f t="shared" si="22"/>
        <v/>
      </c>
      <c r="M125" s="719"/>
      <c r="N125" s="720"/>
      <c r="O125" s="720"/>
      <c r="P125" s="720"/>
      <c r="Q125" s="720"/>
      <c r="R125" s="720"/>
      <c r="S125" s="720"/>
      <c r="T125" s="721"/>
      <c r="U125" s="71"/>
      <c r="V125" s="464"/>
      <c r="W125" s="476"/>
      <c r="X125" s="522"/>
      <c r="Y125" s="522"/>
      <c r="Z125" s="522"/>
      <c r="AA125" s="522"/>
      <c r="AB125" s="522"/>
    </row>
    <row r="126" spans="1:28" ht="5.85" customHeight="1" x14ac:dyDescent="0.25">
      <c r="B126" s="7" t="str">
        <f>IF(  AND(ISNUMBER(C126),OR(ISNUMBER(D126),D126="PG")),IF(IF(Capa!$B$6="B",0,Capa!$B$6)&gt;=C126,1,0),"")</f>
        <v/>
      </c>
      <c r="C126" s="6" t="str">
        <f t="shared" si="16"/>
        <v/>
      </c>
      <c r="D126" s="225"/>
      <c r="E126" s="226"/>
      <c r="F126" s="123"/>
      <c r="G126" s="227"/>
      <c r="H126" s="227"/>
      <c r="I126" s="123"/>
      <c r="J126" s="227"/>
      <c r="K126" s="692"/>
      <c r="L126" s="227"/>
      <c r="M126" s="119"/>
      <c r="N126" s="119"/>
      <c r="O126" s="119"/>
      <c r="P126" s="119"/>
      <c r="Q126" s="119"/>
      <c r="R126" s="119"/>
      <c r="S126" s="229"/>
      <c r="T126" s="229"/>
      <c r="U126" s="454"/>
      <c r="V126" s="536"/>
      <c r="W126" s="121"/>
      <c r="X126" s="522"/>
      <c r="Y126" s="522"/>
      <c r="Z126" s="522"/>
      <c r="AA126" s="522"/>
      <c r="AB126" s="522"/>
    </row>
    <row r="127" spans="1:28" x14ac:dyDescent="0.25">
      <c r="A127" s="210" t="s">
        <v>366</v>
      </c>
      <c r="B127" s="7" t="str">
        <f>IF(  AND(ISNUMBER(C127),OR(ISNUMBER(D127),D127="PG")),IF(IF(Capa!$B$6="B",0,Capa!$B$6)&gt;=C127,1,0),"")</f>
        <v/>
      </c>
      <c r="C127" s="6" t="str">
        <f t="shared" si="16"/>
        <v/>
      </c>
      <c r="D127" s="15"/>
      <c r="E127" s="395" t="s">
        <v>367</v>
      </c>
      <c r="F127" s="517"/>
      <c r="G127" s="532"/>
      <c r="H127" s="219"/>
      <c r="I127" s="23"/>
      <c r="J127" s="219"/>
      <c r="K127" s="528"/>
      <c r="L127" s="383" t="str">
        <f>IF(AND($B129=1,D129="PG"),IF(COUNTIFS($A$1:$A$235,"="&amp;$A127,$B$1:$B$235,"&gt;0",$D$1:$D$235,"&gt;0")&gt;0,
        (COUNTIFS($A$1:$A$235,"="&amp;$A127,$B$1:$B$235,"&gt;0",$D$1:$D$235,"&gt;0",F$1:F$235,"=S",I$1:I$235,"") +
         (COUNTIFS($A$1:$A$235,"="&amp;$A127,$B$1:$B$235,"&gt;0",$D$1:$D$235,"&gt;0",$F$1:$F$235,"=P",I$1:I$235,"")/2) +
         COUNTIFS($A$1:$A$235,"="&amp;$A127,$B$1:$B$235,"&gt;0",$D$1:$D$235,"&gt;0",I$1:I$235,"=S") +
         (COUNTIFS($A$1:$A$235,"="&amp;$A127,$B$1:$B$235,"&gt;0",$D$1:$D$235,"&gt;0",I$1:I$235,"=P")/2)
         )/COUNTIFS($A$1:$A$235,"="&amp;$A127,$B$1:$B$235,"&gt;0",$D$1:$D$235,"&gt;0"),1),"")</f>
        <v/>
      </c>
      <c r="M127" s="380"/>
      <c r="N127" s="70"/>
      <c r="O127" s="68"/>
      <c r="P127" s="68"/>
      <c r="Q127" s="83" t="str">
        <f>IF(L127="","",MIN(IF(ISBLANK(Q129),0,Q129),IF(L127&gt;0.9,4,IF(L127&gt;0.5,3,IF(L127&gt;0.3,2,IF(OR(L127&gt;0,Q129&gt;0),1,0))))))</f>
        <v/>
      </c>
      <c r="R127" s="70"/>
      <c r="S127" s="260"/>
      <c r="T127" s="260"/>
      <c r="U127" s="260"/>
      <c r="V127" s="537"/>
      <c r="W127" s="66"/>
      <c r="X127" s="579"/>
      <c r="Y127" s="579"/>
      <c r="Z127" s="579"/>
      <c r="AA127" s="579"/>
      <c r="AB127" s="579"/>
    </row>
    <row r="128" spans="1:28" ht="4.7" customHeight="1" x14ac:dyDescent="0.25">
      <c r="A128" s="210" t="s">
        <v>366</v>
      </c>
      <c r="B128" s="7" t="str">
        <f>IF(  AND(ISNUMBER(C128),OR(ISNUMBER(D128),D128="PG")),IF(IF(Capa!$B$6="B",0,Capa!$B$6)&gt;=C128,1,0),"")</f>
        <v/>
      </c>
      <c r="C128" s="6">
        <f t="shared" si="16"/>
        <v>1</v>
      </c>
      <c r="D128" s="18" t="s">
        <v>62</v>
      </c>
      <c r="E128" s="394"/>
      <c r="F128" s="516"/>
      <c r="G128" s="533"/>
      <c r="H128" s="239"/>
      <c r="I128" s="27"/>
      <c r="J128" s="239"/>
      <c r="K128" s="529"/>
      <c r="L128" s="242"/>
      <c r="M128" s="65"/>
      <c r="N128" s="65"/>
      <c r="O128" s="65"/>
      <c r="P128" s="65"/>
      <c r="Q128" s="65"/>
      <c r="R128" s="65"/>
      <c r="S128" s="288"/>
      <c r="T128" s="288"/>
      <c r="U128" s="460"/>
      <c r="V128" s="540"/>
      <c r="W128" s="577"/>
      <c r="X128" s="522"/>
      <c r="Y128" s="522"/>
      <c r="Z128" s="522"/>
      <c r="AA128" s="522"/>
      <c r="AB128" s="522"/>
    </row>
    <row r="129" spans="1:28" ht="51" x14ac:dyDescent="0.25">
      <c r="A129" s="646" t="s">
        <v>366</v>
      </c>
      <c r="B129" s="7">
        <f>IF(  AND(ISNUMBER(C129),OR(ISNUMBER(D129),D129="PG")),IF(IF(Capa!$B$6="B",0,Capa!$B$6)&gt;=C129,1,0),"")</f>
        <v>0</v>
      </c>
      <c r="C129" s="6">
        <f t="shared" si="16"/>
        <v>1</v>
      </c>
      <c r="D129" s="647" t="s">
        <v>54</v>
      </c>
      <c r="E129" s="389" t="s">
        <v>368</v>
      </c>
      <c r="F129" s="513"/>
      <c r="G129" s="468"/>
      <c r="H129" s="241"/>
      <c r="I129" s="29"/>
      <c r="J129" s="239"/>
      <c r="K129" s="471"/>
      <c r="L129" s="697" t="str">
        <f>IF(OR(AND(NOT(ISBLANK(M129)),M129&lt;IF(Capa!$B$6&lt;&gt;"B",Capa!$B$6+1,1)),AND(NOT(ISBLANK(N129)),N129&lt;IF(Capa!$B$6&lt;&gt;"B",Capa!$B$6+1,1)),AND(NOT(ISBLANK(O129)),O129&lt;IF(Capa!$B$6&lt;&gt;"B",Capa!$B$6+1,1)),AND(NOT(ISBLANK(Q129)),Q129&lt;IF(Capa!$B$6&lt;&gt;"B",Capa!$B$6+1,1)),AND(NOT(ISBLANK(R129)),R129&lt;IF(Capa!$B$6&lt;&gt;"B",Capa!$B$6+1,1)),AND(NOT(ISBLANK(S129)),S129&lt;IF(Capa!$B$6&lt;&gt;"B",Capa!$B$6+1,1))),1,"")</f>
        <v/>
      </c>
      <c r="M129" s="81"/>
      <c r="N129" s="81"/>
      <c r="O129" s="81"/>
      <c r="P129" s="81"/>
      <c r="Q129" s="81"/>
      <c r="R129" s="81"/>
      <c r="S129" s="81"/>
      <c r="T129" s="81"/>
      <c r="U129" s="58"/>
      <c r="V129" s="464"/>
      <c r="W129" s="476"/>
      <c r="X129" s="666"/>
      <c r="Y129" s="522"/>
      <c r="Z129" s="522"/>
      <c r="AA129" s="522"/>
      <c r="AB129" s="522"/>
    </row>
    <row r="130" spans="1:28" ht="30" x14ac:dyDescent="0.25">
      <c r="A130" s="646" t="s">
        <v>366</v>
      </c>
      <c r="B130" s="7">
        <f>IF(  AND(ISNUMBER(C130),OR(ISNUMBER(D130),D130="PG")),IF(IF(Capa!$B$6="B",0,Capa!$B$6)&gt;=C130,1,0),"")</f>
        <v>0</v>
      </c>
      <c r="C130" s="6">
        <f t="shared" si="16"/>
        <v>1</v>
      </c>
      <c r="D130" s="647">
        <v>219</v>
      </c>
      <c r="E130" s="352" t="s">
        <v>369</v>
      </c>
      <c r="F130" s="513"/>
      <c r="G130" s="468"/>
      <c r="H130" s="241"/>
      <c r="I130" s="29"/>
      <c r="J130" s="425">
        <f t="shared" ref="J130:J134" si="23">LEN(K130)</f>
        <v>0</v>
      </c>
      <c r="K130" s="471"/>
      <c r="L130" s="697" t="str">
        <f t="shared" ref="L130:L134" si="24">IF(OR(I130="N",I130="P"),1,"")</f>
        <v/>
      </c>
      <c r="M130" s="719"/>
      <c r="N130" s="720"/>
      <c r="O130" s="720"/>
      <c r="P130" s="720"/>
      <c r="Q130" s="720"/>
      <c r="R130" s="720"/>
      <c r="S130" s="720"/>
      <c r="T130" s="721"/>
      <c r="U130" s="71"/>
      <c r="V130" s="464"/>
      <c r="W130" s="476"/>
      <c r="X130" s="522"/>
      <c r="Y130" s="522"/>
      <c r="Z130" s="522"/>
      <c r="AA130" s="522"/>
      <c r="AB130" s="522"/>
    </row>
    <row r="131" spans="1:28" ht="12" customHeight="1" x14ac:dyDescent="0.25">
      <c r="A131" s="646" t="s">
        <v>366</v>
      </c>
      <c r="B131" s="7" t="str">
        <f>IF(  AND(ISNUMBER(C131),OR(ISNUMBER(D131),D131="PG")),IF(IF(Capa!$B$6="B",0,Capa!$B$6)&gt;=C131,1,0),"")</f>
        <v/>
      </c>
      <c r="C131" s="6">
        <f t="shared" si="16"/>
        <v>2</v>
      </c>
      <c r="D131" s="647" t="s">
        <v>64</v>
      </c>
      <c r="E131" s="352"/>
      <c r="F131" s="513"/>
      <c r="G131" s="468"/>
      <c r="H131" s="241"/>
      <c r="I131" s="29"/>
      <c r="J131" s="425">
        <f t="shared" si="23"/>
        <v>0</v>
      </c>
      <c r="K131" s="471"/>
      <c r="L131" s="697" t="str">
        <f t="shared" si="24"/>
        <v/>
      </c>
      <c r="M131" s="719"/>
      <c r="N131" s="720"/>
      <c r="O131" s="720"/>
      <c r="P131" s="720"/>
      <c r="Q131" s="720"/>
      <c r="R131" s="720"/>
      <c r="S131" s="720"/>
      <c r="T131" s="721"/>
      <c r="U131" s="71"/>
      <c r="V131" s="464"/>
      <c r="W131" s="476"/>
      <c r="X131" s="522"/>
      <c r="Y131" s="522"/>
      <c r="Z131" s="522"/>
      <c r="AA131" s="522"/>
      <c r="AB131" s="522"/>
    </row>
    <row r="132" spans="1:28" ht="75" x14ac:dyDescent="0.25">
      <c r="A132" s="646" t="s">
        <v>366</v>
      </c>
      <c r="B132" s="7">
        <f>IF(  AND(ISNUMBER(C132),OR(ISNUMBER(D132),D132="PG")),IF(IF(Capa!$B$6="B",0,Capa!$B$6)&gt;=C132,1,0),"")</f>
        <v>0</v>
      </c>
      <c r="C132" s="6">
        <f t="shared" si="16"/>
        <v>2</v>
      </c>
      <c r="D132" s="647">
        <v>220</v>
      </c>
      <c r="E132" s="352" t="s">
        <v>370</v>
      </c>
      <c r="F132" s="513"/>
      <c r="G132" s="468"/>
      <c r="H132" s="241"/>
      <c r="I132" s="29"/>
      <c r="J132" s="425">
        <f t="shared" si="23"/>
        <v>0</v>
      </c>
      <c r="K132" s="471"/>
      <c r="L132" s="697" t="str">
        <f t="shared" si="24"/>
        <v/>
      </c>
      <c r="M132" s="719"/>
      <c r="N132" s="720"/>
      <c r="O132" s="720"/>
      <c r="P132" s="720"/>
      <c r="Q132" s="720"/>
      <c r="R132" s="720"/>
      <c r="S132" s="720"/>
      <c r="T132" s="721"/>
      <c r="U132" s="71"/>
      <c r="V132" s="464"/>
      <c r="W132" s="476"/>
      <c r="X132" s="522"/>
      <c r="Y132" s="522"/>
      <c r="Z132" s="522"/>
      <c r="AA132" s="522"/>
      <c r="AB132" s="522"/>
    </row>
    <row r="133" spans="1:28" ht="5.45" customHeight="1" x14ac:dyDescent="0.25">
      <c r="A133" s="646" t="s">
        <v>366</v>
      </c>
      <c r="B133" s="7" t="str">
        <f>IF(  AND(ISNUMBER(C133),OR(ISNUMBER(D133),D133="PG")),IF(IF(Capa!$B$6="B",0,Capa!$B$6)&gt;=C133,1,0),"")</f>
        <v/>
      </c>
      <c r="C133" s="6">
        <f t="shared" si="16"/>
        <v>3</v>
      </c>
      <c r="D133" s="647" t="s">
        <v>70</v>
      </c>
      <c r="E133" s="352"/>
      <c r="F133" s="513"/>
      <c r="G133" s="468"/>
      <c r="H133" s="241"/>
      <c r="I133" s="29"/>
      <c r="J133" s="425">
        <f t="shared" si="23"/>
        <v>0</v>
      </c>
      <c r="K133" s="471"/>
      <c r="L133" s="697" t="str">
        <f t="shared" si="24"/>
        <v/>
      </c>
      <c r="M133" s="719"/>
      <c r="N133" s="720"/>
      <c r="O133" s="720"/>
      <c r="P133" s="720"/>
      <c r="Q133" s="720"/>
      <c r="R133" s="720"/>
      <c r="S133" s="720"/>
      <c r="T133" s="721"/>
      <c r="U133" s="71"/>
      <c r="V133" s="464"/>
      <c r="W133" s="476"/>
      <c r="X133" s="522"/>
      <c r="Y133" s="522"/>
      <c r="Z133" s="522"/>
      <c r="AA133" s="522"/>
      <c r="AB133" s="522"/>
    </row>
    <row r="134" spans="1:28" ht="30" x14ac:dyDescent="0.25">
      <c r="A134" s="646" t="s">
        <v>366</v>
      </c>
      <c r="B134" s="7">
        <f>IF(  AND(ISNUMBER(C134),OR(ISNUMBER(D134),D134="PG")),IF(IF(Capa!$B$6="B",0,Capa!$B$6)&gt;=C134,1,0),"")</f>
        <v>0</v>
      </c>
      <c r="C134" s="6">
        <f t="shared" si="16"/>
        <v>3</v>
      </c>
      <c r="D134" s="647">
        <v>221</v>
      </c>
      <c r="E134" s="411" t="s">
        <v>371</v>
      </c>
      <c r="F134" s="513"/>
      <c r="G134" s="468"/>
      <c r="H134" s="241"/>
      <c r="I134" s="29"/>
      <c r="J134" s="425">
        <f t="shared" si="23"/>
        <v>0</v>
      </c>
      <c r="K134" s="471"/>
      <c r="L134" s="697" t="str">
        <f t="shared" si="24"/>
        <v/>
      </c>
      <c r="M134" s="719"/>
      <c r="N134" s="720"/>
      <c r="O134" s="720"/>
      <c r="P134" s="720"/>
      <c r="Q134" s="720"/>
      <c r="R134" s="720"/>
      <c r="S134" s="720"/>
      <c r="T134" s="721"/>
      <c r="U134" s="71"/>
      <c r="V134" s="464"/>
      <c r="W134" s="476"/>
      <c r="X134" s="522"/>
      <c r="Y134" s="522"/>
      <c r="Z134" s="522"/>
      <c r="AA134" s="522"/>
      <c r="AB134" s="522"/>
    </row>
    <row r="135" spans="1:28" ht="5.85" customHeight="1" x14ac:dyDescent="0.25">
      <c r="B135" s="7" t="str">
        <f>IF(  AND(ISNUMBER(C135),OR(ISNUMBER(D135),D135="PG")),IF(IF(Capa!$B$6="B",0,Capa!$B$6)&gt;=C135,1,0),"")</f>
        <v/>
      </c>
      <c r="C135" s="118" t="str">
        <f t="shared" ref="C135" si="25">IF(ISBLANK(D135),"",IF(ISERR(SEARCH(D135&amp;"\","&lt;B&gt;\&lt;1&gt;\&lt;2&gt;\&lt;3&gt;\")),IF(AND(NOT(ISBLANK(C134)),C134&lt;=3),C134,""),
IF(SEARCH(D135&amp;"\","&lt;B&gt;\&lt;1&gt;\&lt;2&gt;\&lt;3&gt;\")=1,0,IF(SEARCH(D135&amp;"\","&lt;B&gt;\&lt;1&gt;\&lt;2&gt;\&lt;3&gt;\")=5,1,IF(SEARCH(D135&amp;"\","&lt;B&gt;\&lt;1&gt;\&lt;2&gt;\&lt;3&gt;\")=9,2,IF(SEARCH(D135&amp;"\","&lt;B&gt;\&lt;1&gt;\&lt;2&gt;\&lt;3&gt;\")=13,3,""))))))</f>
        <v/>
      </c>
      <c r="D135" s="225"/>
      <c r="E135" s="226"/>
      <c r="F135" s="615"/>
      <c r="G135" s="246"/>
      <c r="H135" s="227"/>
      <c r="I135" s="615"/>
      <c r="J135" s="227"/>
      <c r="K135" s="616"/>
      <c r="L135" s="246"/>
      <c r="M135" s="120"/>
      <c r="N135" s="120"/>
      <c r="O135" s="120"/>
      <c r="P135" s="120"/>
      <c r="Q135" s="120"/>
      <c r="R135" s="120"/>
      <c r="S135" s="281"/>
      <c r="T135" s="281"/>
      <c r="U135" s="613"/>
      <c r="V135" s="536"/>
      <c r="W135" s="121"/>
      <c r="X135" s="522"/>
      <c r="Y135" s="522"/>
      <c r="Z135" s="522"/>
      <c r="AA135" s="522"/>
      <c r="AB135" s="522"/>
    </row>
    <row r="136" spans="1:28" s="214" customFormat="1" x14ac:dyDescent="0.25">
      <c r="A136" s="266"/>
      <c r="B136" s="266"/>
      <c r="C136" s="54"/>
      <c r="D136" s="267"/>
      <c r="E136" s="268"/>
      <c r="F136" s="55"/>
      <c r="G136" s="269"/>
      <c r="H136" s="269"/>
      <c r="I136" s="55"/>
      <c r="J136" s="269"/>
      <c r="K136" s="270"/>
      <c r="L136" s="269"/>
      <c r="M136" s="62"/>
      <c r="N136" s="62"/>
      <c r="O136" s="62"/>
      <c r="P136" s="62"/>
      <c r="Q136" s="62"/>
      <c r="R136" s="62"/>
      <c r="W136" s="60"/>
    </row>
    <row r="137" spans="1:28" s="214" customFormat="1" x14ac:dyDescent="0.25">
      <c r="A137" s="266"/>
      <c r="B137" s="266"/>
      <c r="C137" s="54"/>
      <c r="D137" s="267"/>
      <c r="E137" s="268"/>
      <c r="F137" s="55"/>
      <c r="G137" s="269"/>
      <c r="H137" s="269"/>
      <c r="I137" s="55"/>
      <c r="J137" s="269"/>
      <c r="K137" s="270"/>
      <c r="L137" s="269"/>
      <c r="M137" s="62"/>
      <c r="N137" s="62"/>
      <c r="O137" s="62"/>
      <c r="P137" s="62"/>
      <c r="Q137" s="62"/>
      <c r="R137" s="62"/>
      <c r="W137" s="60"/>
    </row>
    <row r="138" spans="1:28" s="214" customFormat="1" x14ac:dyDescent="0.25">
      <c r="A138" s="266"/>
      <c r="B138" s="266"/>
      <c r="C138" s="54"/>
      <c r="D138" s="267"/>
      <c r="E138" s="268"/>
      <c r="F138" s="55"/>
      <c r="G138" s="269"/>
      <c r="H138" s="269"/>
      <c r="I138" s="55"/>
      <c r="J138" s="269"/>
      <c r="K138" s="270"/>
      <c r="L138" s="269"/>
      <c r="M138" s="62"/>
      <c r="N138" s="62"/>
      <c r="O138" s="62"/>
      <c r="P138" s="62"/>
      <c r="Q138" s="62"/>
      <c r="R138" s="62"/>
      <c r="W138" s="60"/>
    </row>
    <row r="139" spans="1:28" s="214" customFormat="1" x14ac:dyDescent="0.25">
      <c r="A139" s="266"/>
      <c r="B139" s="266"/>
      <c r="C139" s="54"/>
      <c r="D139" s="267"/>
      <c r="E139" s="268"/>
      <c r="F139" s="55"/>
      <c r="G139" s="269"/>
      <c r="H139" s="269"/>
      <c r="I139" s="55"/>
      <c r="J139" s="269"/>
      <c r="K139" s="270"/>
      <c r="L139" s="269"/>
      <c r="M139" s="62"/>
      <c r="N139" s="62"/>
      <c r="O139" s="62"/>
      <c r="P139" s="62"/>
      <c r="Q139" s="62"/>
      <c r="R139" s="62"/>
      <c r="W139" s="60"/>
    </row>
    <row r="140" spans="1:28" s="214" customFormat="1" x14ac:dyDescent="0.25">
      <c r="A140" s="266"/>
      <c r="B140" s="266"/>
      <c r="C140" s="54"/>
      <c r="D140" s="267"/>
      <c r="E140" s="268"/>
      <c r="F140" s="55"/>
      <c r="G140" s="269"/>
      <c r="H140" s="269"/>
      <c r="I140" s="55"/>
      <c r="J140" s="269"/>
      <c r="K140" s="270"/>
      <c r="L140" s="269"/>
      <c r="M140" s="62"/>
      <c r="N140" s="62"/>
      <c r="O140" s="62"/>
      <c r="P140" s="62"/>
      <c r="Q140" s="62"/>
      <c r="R140" s="62"/>
      <c r="W140" s="60"/>
    </row>
    <row r="141" spans="1:28" s="214" customFormat="1" x14ac:dyDescent="0.25">
      <c r="A141" s="266"/>
      <c r="B141" s="266"/>
      <c r="C141" s="54"/>
      <c r="D141" s="267"/>
      <c r="E141" s="268"/>
      <c r="F141" s="55"/>
      <c r="G141" s="269"/>
      <c r="H141" s="269"/>
      <c r="I141" s="55"/>
      <c r="J141" s="269"/>
      <c r="K141" s="270"/>
      <c r="L141" s="269"/>
      <c r="M141" s="62"/>
      <c r="N141" s="62"/>
      <c r="O141" s="62"/>
      <c r="P141" s="62"/>
      <c r="Q141" s="62"/>
      <c r="R141" s="62"/>
      <c r="W141" s="60"/>
    </row>
    <row r="142" spans="1:28" s="214" customFormat="1" x14ac:dyDescent="0.25">
      <c r="A142" s="266"/>
      <c r="B142" s="266"/>
      <c r="C142" s="54"/>
      <c r="D142" s="267"/>
      <c r="E142" s="268"/>
      <c r="F142" s="55"/>
      <c r="G142" s="269"/>
      <c r="H142" s="269"/>
      <c r="I142" s="55"/>
      <c r="J142" s="269"/>
      <c r="K142" s="270"/>
      <c r="L142" s="269"/>
      <c r="M142" s="62"/>
      <c r="N142" s="62"/>
      <c r="O142" s="62"/>
      <c r="P142" s="62"/>
      <c r="Q142" s="62"/>
      <c r="R142" s="62"/>
      <c r="W142" s="60"/>
    </row>
    <row r="143" spans="1:28" s="214" customFormat="1" x14ac:dyDescent="0.25">
      <c r="A143" s="266"/>
      <c r="B143" s="266"/>
      <c r="C143" s="54"/>
      <c r="D143" s="267"/>
      <c r="E143" s="268"/>
      <c r="F143" s="55"/>
      <c r="G143" s="269"/>
      <c r="H143" s="269"/>
      <c r="I143" s="55"/>
      <c r="J143" s="269"/>
      <c r="K143" s="270"/>
      <c r="L143" s="269"/>
      <c r="M143" s="62"/>
      <c r="N143" s="62"/>
      <c r="O143" s="62"/>
      <c r="P143" s="62"/>
      <c r="Q143" s="62"/>
      <c r="R143" s="62"/>
      <c r="W143" s="60"/>
    </row>
    <row r="144" spans="1:28" s="214" customFormat="1" x14ac:dyDescent="0.25">
      <c r="A144" s="266"/>
      <c r="B144" s="266"/>
      <c r="C144" s="54"/>
      <c r="D144" s="267"/>
      <c r="E144" s="268"/>
      <c r="F144" s="55"/>
      <c r="G144" s="269"/>
      <c r="H144" s="269"/>
      <c r="I144" s="55"/>
      <c r="J144" s="269"/>
      <c r="K144" s="270"/>
      <c r="L144" s="269"/>
      <c r="M144" s="62"/>
      <c r="N144" s="62"/>
      <c r="O144" s="62"/>
      <c r="P144" s="62"/>
      <c r="Q144" s="62"/>
      <c r="R144" s="62"/>
      <c r="W144" s="60"/>
    </row>
    <row r="145" spans="1:23" s="214" customFormat="1" x14ac:dyDescent="0.25">
      <c r="A145" s="266"/>
      <c r="B145" s="266"/>
      <c r="C145" s="54"/>
      <c r="D145" s="267"/>
      <c r="E145" s="268"/>
      <c r="F145" s="55"/>
      <c r="G145" s="269"/>
      <c r="H145" s="269"/>
      <c r="I145" s="55"/>
      <c r="J145" s="269"/>
      <c r="K145" s="270"/>
      <c r="L145" s="269"/>
      <c r="M145" s="62"/>
      <c r="N145" s="62"/>
      <c r="O145" s="62"/>
      <c r="P145" s="62"/>
      <c r="Q145" s="62"/>
      <c r="R145" s="62"/>
      <c r="W145" s="60"/>
    </row>
    <row r="146" spans="1:23" s="214" customFormat="1" x14ac:dyDescent="0.25">
      <c r="A146" s="266"/>
      <c r="B146" s="266"/>
      <c r="C146" s="54"/>
      <c r="D146" s="267"/>
      <c r="E146" s="268"/>
      <c r="F146" s="55"/>
      <c r="G146" s="269"/>
      <c r="H146" s="269"/>
      <c r="I146" s="55"/>
      <c r="J146" s="269"/>
      <c r="K146" s="270"/>
      <c r="L146" s="269"/>
      <c r="M146" s="62"/>
      <c r="N146" s="62"/>
      <c r="O146" s="62"/>
      <c r="P146" s="62"/>
      <c r="Q146" s="62"/>
      <c r="R146" s="62"/>
      <c r="W146" s="60"/>
    </row>
    <row r="147" spans="1:23" s="214" customFormat="1" x14ac:dyDescent="0.25">
      <c r="A147" s="266"/>
      <c r="B147" s="266"/>
      <c r="C147" s="54"/>
      <c r="D147" s="267"/>
      <c r="E147" s="268"/>
      <c r="F147" s="55"/>
      <c r="G147" s="269"/>
      <c r="H147" s="269"/>
      <c r="I147" s="55"/>
      <c r="J147" s="269"/>
      <c r="K147" s="270"/>
      <c r="L147" s="269"/>
      <c r="M147" s="62"/>
      <c r="N147" s="62"/>
      <c r="O147" s="62"/>
      <c r="P147" s="62"/>
      <c r="Q147" s="62"/>
      <c r="R147" s="62"/>
      <c r="W147" s="60"/>
    </row>
    <row r="148" spans="1:23" s="214" customFormat="1" x14ac:dyDescent="0.25">
      <c r="A148" s="266"/>
      <c r="B148" s="266"/>
      <c r="C148" s="54"/>
      <c r="D148" s="267"/>
      <c r="E148" s="268"/>
      <c r="F148" s="55"/>
      <c r="G148" s="269"/>
      <c r="H148" s="269"/>
      <c r="I148" s="55"/>
      <c r="J148" s="269"/>
      <c r="K148" s="270"/>
      <c r="L148" s="269"/>
      <c r="M148" s="62"/>
      <c r="N148" s="62"/>
      <c r="O148" s="62"/>
      <c r="P148" s="62"/>
      <c r="Q148" s="62"/>
      <c r="R148" s="62"/>
      <c r="W148" s="60"/>
    </row>
    <row r="149" spans="1:23" s="214" customFormat="1" x14ac:dyDescent="0.25">
      <c r="A149" s="266"/>
      <c r="B149" s="266"/>
      <c r="C149" s="54"/>
      <c r="D149" s="267"/>
      <c r="E149" s="268"/>
      <c r="F149" s="55"/>
      <c r="G149" s="269"/>
      <c r="H149" s="269"/>
      <c r="I149" s="55"/>
      <c r="J149" s="269"/>
      <c r="K149" s="270"/>
      <c r="L149" s="269"/>
      <c r="M149" s="62"/>
      <c r="N149" s="62"/>
      <c r="O149" s="62"/>
      <c r="P149" s="62"/>
      <c r="Q149" s="62"/>
      <c r="R149" s="62"/>
      <c r="W149" s="60"/>
    </row>
    <row r="150" spans="1:23" s="214" customFormat="1" x14ac:dyDescent="0.25">
      <c r="A150" s="266"/>
      <c r="B150" s="266"/>
      <c r="C150" s="54"/>
      <c r="D150" s="267"/>
      <c r="E150" s="268"/>
      <c r="F150" s="55"/>
      <c r="G150" s="269"/>
      <c r="H150" s="269"/>
      <c r="I150" s="55"/>
      <c r="J150" s="269"/>
      <c r="K150" s="270"/>
      <c r="L150" s="269"/>
      <c r="M150" s="62"/>
      <c r="N150" s="62"/>
      <c r="O150" s="62"/>
      <c r="P150" s="62"/>
      <c r="Q150" s="62"/>
      <c r="R150" s="62"/>
      <c r="W150" s="60"/>
    </row>
    <row r="151" spans="1:23" s="214" customFormat="1" x14ac:dyDescent="0.25">
      <c r="A151" s="266"/>
      <c r="B151" s="266"/>
      <c r="C151" s="54"/>
      <c r="D151" s="267"/>
      <c r="E151" s="268"/>
      <c r="F151" s="55"/>
      <c r="G151" s="269"/>
      <c r="H151" s="269"/>
      <c r="I151" s="55"/>
      <c r="J151" s="269"/>
      <c r="K151" s="270"/>
      <c r="L151" s="269"/>
      <c r="M151" s="62"/>
      <c r="N151" s="62"/>
      <c r="O151" s="62"/>
      <c r="P151" s="62"/>
      <c r="Q151" s="62"/>
      <c r="R151" s="62"/>
      <c r="W151" s="60"/>
    </row>
    <row r="152" spans="1:23" s="214" customFormat="1" x14ac:dyDescent="0.25">
      <c r="A152" s="266"/>
      <c r="B152" s="266"/>
      <c r="C152" s="54"/>
      <c r="D152" s="267"/>
      <c r="E152" s="268"/>
      <c r="F152" s="55"/>
      <c r="G152" s="269"/>
      <c r="H152" s="269"/>
      <c r="I152" s="55"/>
      <c r="J152" s="269"/>
      <c r="K152" s="270"/>
      <c r="L152" s="269"/>
      <c r="M152" s="62"/>
      <c r="N152" s="62"/>
      <c r="O152" s="62"/>
      <c r="P152" s="62"/>
      <c r="Q152" s="62"/>
      <c r="R152" s="62"/>
      <c r="W152" s="60"/>
    </row>
    <row r="153" spans="1:23" s="214" customFormat="1" x14ac:dyDescent="0.25">
      <c r="A153" s="266"/>
      <c r="B153" s="266"/>
      <c r="C153" s="54"/>
      <c r="D153" s="267"/>
      <c r="E153" s="268"/>
      <c r="F153" s="55"/>
      <c r="G153" s="269"/>
      <c r="H153" s="269"/>
      <c r="I153" s="55"/>
      <c r="J153" s="269"/>
      <c r="K153" s="270"/>
      <c r="L153" s="269"/>
      <c r="M153" s="62"/>
      <c r="N153" s="62"/>
      <c r="O153" s="62"/>
      <c r="P153" s="62"/>
      <c r="Q153" s="62"/>
      <c r="R153" s="62"/>
      <c r="W153" s="60"/>
    </row>
    <row r="154" spans="1:23" s="214" customFormat="1" x14ac:dyDescent="0.25">
      <c r="A154" s="266"/>
      <c r="B154" s="266"/>
      <c r="C154" s="54"/>
      <c r="D154" s="267"/>
      <c r="E154" s="268"/>
      <c r="F154" s="55"/>
      <c r="G154" s="269"/>
      <c r="H154" s="269"/>
      <c r="I154" s="55"/>
      <c r="J154" s="269"/>
      <c r="K154" s="270"/>
      <c r="L154" s="269"/>
      <c r="M154" s="62"/>
      <c r="N154" s="62"/>
      <c r="O154" s="62"/>
      <c r="P154" s="62"/>
      <c r="Q154" s="62"/>
      <c r="R154" s="62"/>
      <c r="W154" s="60"/>
    </row>
    <row r="155" spans="1:23" s="214" customFormat="1" x14ac:dyDescent="0.25">
      <c r="A155" s="266"/>
      <c r="B155" s="266"/>
      <c r="C155" s="54"/>
      <c r="D155" s="267"/>
      <c r="E155" s="268"/>
      <c r="F155" s="55"/>
      <c r="G155" s="269"/>
      <c r="H155" s="269"/>
      <c r="I155" s="55"/>
      <c r="J155" s="269"/>
      <c r="K155" s="270"/>
      <c r="L155" s="269"/>
      <c r="M155" s="62"/>
      <c r="N155" s="62"/>
      <c r="O155" s="62"/>
      <c r="P155" s="62"/>
      <c r="Q155" s="62"/>
      <c r="R155" s="62"/>
      <c r="W155" s="60"/>
    </row>
    <row r="156" spans="1:23" s="214" customFormat="1" x14ac:dyDescent="0.25">
      <c r="A156" s="266"/>
      <c r="B156" s="266"/>
      <c r="C156" s="54"/>
      <c r="D156" s="267"/>
      <c r="E156" s="268"/>
      <c r="F156" s="55"/>
      <c r="G156" s="269"/>
      <c r="H156" s="269"/>
      <c r="I156" s="55"/>
      <c r="J156" s="269"/>
      <c r="K156" s="270"/>
      <c r="L156" s="269"/>
      <c r="M156" s="62"/>
      <c r="N156" s="62"/>
      <c r="O156" s="62"/>
      <c r="P156" s="62"/>
      <c r="Q156" s="62"/>
      <c r="R156" s="62"/>
      <c r="W156" s="60"/>
    </row>
    <row r="157" spans="1:23" s="214" customFormat="1" x14ac:dyDescent="0.25">
      <c r="A157" s="266"/>
      <c r="B157" s="266"/>
      <c r="C157" s="54"/>
      <c r="D157" s="267"/>
      <c r="E157" s="268"/>
      <c r="F157" s="55"/>
      <c r="G157" s="269"/>
      <c r="H157" s="269"/>
      <c r="I157" s="55"/>
      <c r="J157" s="269"/>
      <c r="K157" s="270"/>
      <c r="L157" s="269"/>
      <c r="M157" s="62"/>
      <c r="N157" s="62"/>
      <c r="O157" s="62"/>
      <c r="P157" s="62"/>
      <c r="Q157" s="62"/>
      <c r="R157" s="62"/>
      <c r="W157" s="60"/>
    </row>
    <row r="158" spans="1:23" s="214" customFormat="1" x14ac:dyDescent="0.25">
      <c r="A158" s="266"/>
      <c r="B158" s="266"/>
      <c r="C158" s="54"/>
      <c r="D158" s="267"/>
      <c r="E158" s="268"/>
      <c r="F158" s="55"/>
      <c r="G158" s="269"/>
      <c r="H158" s="269"/>
      <c r="I158" s="55"/>
      <c r="J158" s="269"/>
      <c r="K158" s="270"/>
      <c r="L158" s="269"/>
      <c r="M158" s="62"/>
      <c r="N158" s="62"/>
      <c r="O158" s="62"/>
      <c r="P158" s="62"/>
      <c r="Q158" s="62"/>
      <c r="R158" s="62"/>
      <c r="W158" s="60"/>
    </row>
    <row r="159" spans="1:23" s="214" customFormat="1" x14ac:dyDescent="0.25">
      <c r="A159" s="266"/>
      <c r="B159" s="266"/>
      <c r="C159" s="54"/>
      <c r="D159" s="267"/>
      <c r="E159" s="268"/>
      <c r="F159" s="55"/>
      <c r="G159" s="269"/>
      <c r="H159" s="269"/>
      <c r="I159" s="55"/>
      <c r="J159" s="269"/>
      <c r="K159" s="270"/>
      <c r="L159" s="269"/>
      <c r="M159" s="62"/>
      <c r="N159" s="62"/>
      <c r="O159" s="62"/>
      <c r="P159" s="62"/>
      <c r="Q159" s="62"/>
      <c r="R159" s="62"/>
      <c r="W159" s="60"/>
    </row>
    <row r="160" spans="1:23" s="214" customFormat="1" x14ac:dyDescent="0.25">
      <c r="A160" s="266"/>
      <c r="B160" s="266"/>
      <c r="C160" s="54"/>
      <c r="D160" s="267"/>
      <c r="E160" s="268"/>
      <c r="F160" s="55"/>
      <c r="G160" s="269"/>
      <c r="H160" s="269"/>
      <c r="I160" s="55"/>
      <c r="J160" s="269"/>
      <c r="K160" s="270"/>
      <c r="L160" s="269"/>
      <c r="M160" s="62"/>
      <c r="N160" s="62"/>
      <c r="O160" s="62"/>
      <c r="P160" s="62"/>
      <c r="Q160" s="62"/>
      <c r="R160" s="62"/>
      <c r="W160" s="60"/>
    </row>
    <row r="161" spans="1:23" s="214" customFormat="1" x14ac:dyDescent="0.25">
      <c r="A161" s="266"/>
      <c r="B161" s="266"/>
      <c r="C161" s="54"/>
      <c r="D161" s="267"/>
      <c r="E161" s="268"/>
      <c r="F161" s="55"/>
      <c r="G161" s="269"/>
      <c r="H161" s="269"/>
      <c r="I161" s="55"/>
      <c r="J161" s="269"/>
      <c r="K161" s="270"/>
      <c r="L161" s="269"/>
      <c r="M161" s="62"/>
      <c r="N161" s="62"/>
      <c r="O161" s="62"/>
      <c r="P161" s="62"/>
      <c r="Q161" s="62"/>
      <c r="R161" s="62"/>
      <c r="W161" s="60"/>
    </row>
    <row r="162" spans="1:23" s="214" customFormat="1" x14ac:dyDescent="0.25">
      <c r="A162" s="266"/>
      <c r="B162" s="266"/>
      <c r="C162" s="54"/>
      <c r="D162" s="267"/>
      <c r="E162" s="268"/>
      <c r="F162" s="55"/>
      <c r="G162" s="269"/>
      <c r="H162" s="269"/>
      <c r="I162" s="55"/>
      <c r="J162" s="269"/>
      <c r="K162" s="270"/>
      <c r="L162" s="269"/>
      <c r="M162" s="62"/>
      <c r="N162" s="62"/>
      <c r="O162" s="62"/>
      <c r="P162" s="62"/>
      <c r="Q162" s="62"/>
      <c r="R162" s="62"/>
      <c r="W162" s="60"/>
    </row>
    <row r="163" spans="1:23" s="214" customFormat="1" x14ac:dyDescent="0.25">
      <c r="A163" s="266"/>
      <c r="B163" s="266"/>
      <c r="C163" s="54"/>
      <c r="D163" s="267"/>
      <c r="E163" s="268"/>
      <c r="F163" s="55"/>
      <c r="G163" s="269"/>
      <c r="H163" s="269"/>
      <c r="I163" s="55"/>
      <c r="J163" s="269"/>
      <c r="K163" s="270"/>
      <c r="L163" s="269"/>
      <c r="M163" s="62"/>
      <c r="N163" s="62"/>
      <c r="O163" s="62"/>
      <c r="P163" s="62"/>
      <c r="Q163" s="62"/>
      <c r="R163" s="62"/>
      <c r="W163" s="60"/>
    </row>
    <row r="164" spans="1:23" s="214" customFormat="1" x14ac:dyDescent="0.25">
      <c r="A164" s="266"/>
      <c r="B164" s="266"/>
      <c r="C164" s="54"/>
      <c r="D164" s="267"/>
      <c r="E164" s="268"/>
      <c r="F164" s="55"/>
      <c r="G164" s="269"/>
      <c r="H164" s="269"/>
      <c r="I164" s="55"/>
      <c r="J164" s="269"/>
      <c r="K164" s="270"/>
      <c r="L164" s="269"/>
      <c r="M164" s="62"/>
      <c r="N164" s="62"/>
      <c r="O164" s="62"/>
      <c r="P164" s="62"/>
      <c r="Q164" s="62"/>
      <c r="R164" s="62"/>
      <c r="W164" s="60"/>
    </row>
    <row r="165" spans="1:23" s="214" customFormat="1" x14ac:dyDescent="0.25">
      <c r="A165" s="266"/>
      <c r="B165" s="266"/>
      <c r="C165" s="54"/>
      <c r="D165" s="267"/>
      <c r="E165" s="268"/>
      <c r="F165" s="55"/>
      <c r="G165" s="269"/>
      <c r="H165" s="269"/>
      <c r="I165" s="55"/>
      <c r="J165" s="269"/>
      <c r="K165" s="270"/>
      <c r="L165" s="269"/>
      <c r="M165" s="62"/>
      <c r="N165" s="62"/>
      <c r="O165" s="62"/>
      <c r="P165" s="62"/>
      <c r="Q165" s="62"/>
      <c r="R165" s="62"/>
      <c r="W165" s="60"/>
    </row>
    <row r="166" spans="1:23" s="214" customFormat="1" x14ac:dyDescent="0.25">
      <c r="A166" s="266"/>
      <c r="B166" s="266"/>
      <c r="C166" s="54"/>
      <c r="D166" s="267"/>
      <c r="E166" s="268"/>
      <c r="F166" s="55"/>
      <c r="G166" s="269"/>
      <c r="H166" s="269"/>
      <c r="I166" s="55"/>
      <c r="J166" s="269"/>
      <c r="K166" s="270"/>
      <c r="L166" s="269"/>
      <c r="M166" s="62"/>
      <c r="N166" s="62"/>
      <c r="O166" s="62"/>
      <c r="P166" s="62"/>
      <c r="Q166" s="62"/>
      <c r="R166" s="62"/>
      <c r="W166" s="60"/>
    </row>
    <row r="167" spans="1:23" s="214" customFormat="1" x14ac:dyDescent="0.25">
      <c r="A167" s="266"/>
      <c r="B167" s="266"/>
      <c r="C167" s="54"/>
      <c r="D167" s="267"/>
      <c r="E167" s="268"/>
      <c r="F167" s="55"/>
      <c r="G167" s="269"/>
      <c r="H167" s="269"/>
      <c r="I167" s="55"/>
      <c r="J167" s="269"/>
      <c r="K167" s="270"/>
      <c r="L167" s="269"/>
      <c r="M167" s="62"/>
      <c r="N167" s="62"/>
      <c r="O167" s="62"/>
      <c r="P167" s="62"/>
      <c r="Q167" s="62"/>
      <c r="R167" s="62"/>
      <c r="W167" s="60"/>
    </row>
    <row r="168" spans="1:23" s="214" customFormat="1" x14ac:dyDescent="0.25">
      <c r="A168" s="266"/>
      <c r="B168" s="266"/>
      <c r="C168" s="54"/>
      <c r="D168" s="267"/>
      <c r="E168" s="268"/>
      <c r="F168" s="55"/>
      <c r="G168" s="269"/>
      <c r="H168" s="269"/>
      <c r="I168" s="55"/>
      <c r="J168" s="269"/>
      <c r="K168" s="270"/>
      <c r="L168" s="269"/>
      <c r="M168" s="62"/>
      <c r="N168" s="62"/>
      <c r="O168" s="62"/>
      <c r="P168" s="62"/>
      <c r="Q168" s="62"/>
      <c r="R168" s="62"/>
      <c r="W168" s="60"/>
    </row>
    <row r="169" spans="1:23" s="214" customFormat="1" x14ac:dyDescent="0.25">
      <c r="A169" s="266"/>
      <c r="B169" s="266"/>
      <c r="C169" s="54"/>
      <c r="D169" s="267"/>
      <c r="E169" s="268"/>
      <c r="F169" s="55"/>
      <c r="G169" s="269"/>
      <c r="H169" s="269"/>
      <c r="I169" s="55"/>
      <c r="J169" s="269"/>
      <c r="K169" s="270"/>
      <c r="L169" s="269"/>
      <c r="M169" s="62"/>
      <c r="N169" s="62"/>
      <c r="O169" s="62"/>
      <c r="P169" s="62"/>
      <c r="Q169" s="62"/>
      <c r="R169" s="62"/>
      <c r="W169" s="60"/>
    </row>
    <row r="170" spans="1:23" s="214" customFormat="1" x14ac:dyDescent="0.25">
      <c r="A170" s="266"/>
      <c r="B170" s="266"/>
      <c r="C170" s="54"/>
      <c r="D170" s="267"/>
      <c r="E170" s="268"/>
      <c r="F170" s="55"/>
      <c r="G170" s="269"/>
      <c r="H170" s="269"/>
      <c r="I170" s="55"/>
      <c r="J170" s="269"/>
      <c r="K170" s="270"/>
      <c r="L170" s="269"/>
      <c r="M170" s="62"/>
      <c r="N170" s="62"/>
      <c r="O170" s="62"/>
      <c r="P170" s="62"/>
      <c r="Q170" s="62"/>
      <c r="R170" s="62"/>
      <c r="W170" s="60"/>
    </row>
    <row r="171" spans="1:23" s="214" customFormat="1" x14ac:dyDescent="0.25">
      <c r="A171" s="266"/>
      <c r="B171" s="266"/>
      <c r="C171" s="54"/>
      <c r="D171" s="267"/>
      <c r="E171" s="268"/>
      <c r="F171" s="55"/>
      <c r="G171" s="269"/>
      <c r="H171" s="269"/>
      <c r="I171" s="55"/>
      <c r="J171" s="269"/>
      <c r="K171" s="270"/>
      <c r="L171" s="269"/>
      <c r="M171" s="62"/>
      <c r="N171" s="62"/>
      <c r="O171" s="62"/>
      <c r="P171" s="62"/>
      <c r="Q171" s="62"/>
      <c r="R171" s="62"/>
      <c r="W171" s="60"/>
    </row>
    <row r="172" spans="1:23" s="214" customFormat="1" x14ac:dyDescent="0.25">
      <c r="A172" s="266"/>
      <c r="B172" s="266"/>
      <c r="C172" s="54"/>
      <c r="D172" s="267"/>
      <c r="E172" s="268"/>
      <c r="F172" s="55"/>
      <c r="G172" s="269"/>
      <c r="H172" s="269"/>
      <c r="I172" s="55"/>
      <c r="J172" s="269"/>
      <c r="K172" s="270"/>
      <c r="L172" s="269"/>
      <c r="M172" s="62"/>
      <c r="N172" s="62"/>
      <c r="O172" s="62"/>
      <c r="P172" s="62"/>
      <c r="Q172" s="62"/>
      <c r="R172" s="62"/>
      <c r="W172" s="60"/>
    </row>
    <row r="173" spans="1:23" s="214" customFormat="1" x14ac:dyDescent="0.25">
      <c r="A173" s="266"/>
      <c r="B173" s="266"/>
      <c r="C173" s="54"/>
      <c r="D173" s="267"/>
      <c r="E173" s="268"/>
      <c r="F173" s="55"/>
      <c r="G173" s="269"/>
      <c r="H173" s="269"/>
      <c r="I173" s="55"/>
      <c r="J173" s="269"/>
      <c r="K173" s="270"/>
      <c r="L173" s="269"/>
      <c r="M173" s="62"/>
      <c r="N173" s="62"/>
      <c r="O173" s="62"/>
      <c r="P173" s="62"/>
      <c r="Q173" s="62"/>
      <c r="R173" s="62"/>
      <c r="W173" s="60"/>
    </row>
    <row r="174" spans="1:23" s="214" customFormat="1" x14ac:dyDescent="0.25">
      <c r="A174" s="266"/>
      <c r="B174" s="266"/>
      <c r="C174" s="54"/>
      <c r="D174" s="267"/>
      <c r="E174" s="268"/>
      <c r="F174" s="55"/>
      <c r="G174" s="269"/>
      <c r="H174" s="269"/>
      <c r="I174" s="55"/>
      <c r="J174" s="269"/>
      <c r="K174" s="270"/>
      <c r="L174" s="269"/>
      <c r="M174" s="62"/>
      <c r="N174" s="62"/>
      <c r="O174" s="62"/>
      <c r="P174" s="62"/>
      <c r="Q174" s="62"/>
      <c r="R174" s="62"/>
      <c r="W174" s="60"/>
    </row>
    <row r="175" spans="1:23" s="214" customFormat="1" x14ac:dyDescent="0.25">
      <c r="A175" s="266"/>
      <c r="B175" s="266"/>
      <c r="C175" s="54"/>
      <c r="D175" s="267"/>
      <c r="E175" s="268"/>
      <c r="F175" s="55"/>
      <c r="G175" s="269"/>
      <c r="H175" s="269"/>
      <c r="I175" s="55"/>
      <c r="J175" s="269"/>
      <c r="K175" s="270"/>
      <c r="L175" s="269"/>
      <c r="M175" s="62"/>
      <c r="N175" s="62"/>
      <c r="O175" s="62"/>
      <c r="P175" s="62"/>
      <c r="Q175" s="62"/>
      <c r="R175" s="62"/>
      <c r="W175" s="60"/>
    </row>
    <row r="176" spans="1:23" s="214" customFormat="1" x14ac:dyDescent="0.25">
      <c r="A176" s="266"/>
      <c r="B176" s="266"/>
      <c r="C176" s="54"/>
      <c r="D176" s="267"/>
      <c r="E176" s="268"/>
      <c r="F176" s="55"/>
      <c r="G176" s="269"/>
      <c r="H176" s="269"/>
      <c r="I176" s="55"/>
      <c r="J176" s="269"/>
      <c r="K176" s="270"/>
      <c r="L176" s="269"/>
      <c r="M176" s="62"/>
      <c r="N176" s="62"/>
      <c r="O176" s="62"/>
      <c r="P176" s="62"/>
      <c r="Q176" s="62"/>
      <c r="R176" s="62"/>
      <c r="W176" s="60"/>
    </row>
    <row r="177" spans="1:23" s="214" customFormat="1" x14ac:dyDescent="0.25">
      <c r="A177" s="266"/>
      <c r="B177" s="266"/>
      <c r="C177" s="54"/>
      <c r="D177" s="267"/>
      <c r="E177" s="268"/>
      <c r="F177" s="55"/>
      <c r="G177" s="269"/>
      <c r="H177" s="269"/>
      <c r="I177" s="55"/>
      <c r="J177" s="269"/>
      <c r="K177" s="270"/>
      <c r="L177" s="269"/>
      <c r="M177" s="62"/>
      <c r="N177" s="62"/>
      <c r="O177" s="62"/>
      <c r="P177" s="62"/>
      <c r="Q177" s="62"/>
      <c r="R177" s="62"/>
      <c r="W177" s="60"/>
    </row>
    <row r="178" spans="1:23" s="214" customFormat="1" x14ac:dyDescent="0.25">
      <c r="A178" s="266"/>
      <c r="B178" s="266"/>
      <c r="C178" s="54"/>
      <c r="D178" s="267"/>
      <c r="E178" s="268"/>
      <c r="F178" s="55"/>
      <c r="G178" s="269"/>
      <c r="H178" s="269"/>
      <c r="I178" s="55"/>
      <c r="J178" s="269"/>
      <c r="K178" s="270"/>
      <c r="L178" s="269"/>
      <c r="M178" s="62"/>
      <c r="N178" s="62"/>
      <c r="O178" s="62"/>
      <c r="P178" s="62"/>
      <c r="Q178" s="62"/>
      <c r="R178" s="62"/>
      <c r="W178" s="60"/>
    </row>
    <row r="179" spans="1:23" s="214" customFormat="1" x14ac:dyDescent="0.25">
      <c r="A179" s="266"/>
      <c r="B179" s="266"/>
      <c r="C179" s="54"/>
      <c r="D179" s="267"/>
      <c r="E179" s="268"/>
      <c r="F179" s="55"/>
      <c r="G179" s="269"/>
      <c r="H179" s="269"/>
      <c r="I179" s="55"/>
      <c r="J179" s="269"/>
      <c r="K179" s="270"/>
      <c r="L179" s="269"/>
      <c r="M179" s="62"/>
      <c r="N179" s="62"/>
      <c r="O179" s="62"/>
      <c r="P179" s="62"/>
      <c r="Q179" s="62"/>
      <c r="R179" s="62"/>
      <c r="W179" s="60"/>
    </row>
    <row r="180" spans="1:23" s="214" customFormat="1" x14ac:dyDescent="0.25">
      <c r="A180" s="266"/>
      <c r="B180" s="266"/>
      <c r="C180" s="54"/>
      <c r="D180" s="267"/>
      <c r="E180" s="268"/>
      <c r="F180" s="55"/>
      <c r="G180" s="269"/>
      <c r="H180" s="269"/>
      <c r="I180" s="55"/>
      <c r="J180" s="269"/>
      <c r="K180" s="270"/>
      <c r="L180" s="269"/>
      <c r="M180" s="62"/>
      <c r="N180" s="62"/>
      <c r="O180" s="62"/>
      <c r="P180" s="62"/>
      <c r="Q180" s="62"/>
      <c r="R180" s="62"/>
      <c r="W180" s="60"/>
    </row>
    <row r="181" spans="1:23" s="214" customFormat="1" x14ac:dyDescent="0.25">
      <c r="A181" s="266"/>
      <c r="B181" s="266"/>
      <c r="C181" s="54"/>
      <c r="D181" s="267"/>
      <c r="E181" s="268"/>
      <c r="F181" s="55"/>
      <c r="G181" s="269"/>
      <c r="H181" s="269"/>
      <c r="I181" s="55"/>
      <c r="J181" s="269"/>
      <c r="K181" s="270"/>
      <c r="L181" s="269"/>
      <c r="M181" s="62"/>
      <c r="N181" s="62"/>
      <c r="O181" s="62"/>
      <c r="P181" s="62"/>
      <c r="Q181" s="62"/>
      <c r="R181" s="62"/>
      <c r="W181" s="60"/>
    </row>
    <row r="182" spans="1:23" s="214" customFormat="1" x14ac:dyDescent="0.25">
      <c r="A182" s="266"/>
      <c r="B182" s="266"/>
      <c r="C182" s="54"/>
      <c r="D182" s="267"/>
      <c r="E182" s="268"/>
      <c r="F182" s="55"/>
      <c r="G182" s="269"/>
      <c r="H182" s="269"/>
      <c r="I182" s="55"/>
      <c r="J182" s="269"/>
      <c r="K182" s="270"/>
      <c r="L182" s="269"/>
      <c r="M182" s="62"/>
      <c r="N182" s="62"/>
      <c r="O182" s="62"/>
      <c r="P182" s="62"/>
      <c r="Q182" s="62"/>
      <c r="R182" s="62"/>
      <c r="W182" s="60"/>
    </row>
    <row r="183" spans="1:23" s="214" customFormat="1" x14ac:dyDescent="0.25">
      <c r="A183" s="266"/>
      <c r="B183" s="266"/>
      <c r="C183" s="54"/>
      <c r="D183" s="267"/>
      <c r="E183" s="268"/>
      <c r="F183" s="55"/>
      <c r="G183" s="269"/>
      <c r="H183" s="269"/>
      <c r="I183" s="55"/>
      <c r="J183" s="269"/>
      <c r="K183" s="270"/>
      <c r="L183" s="269"/>
      <c r="M183" s="62"/>
      <c r="N183" s="62"/>
      <c r="O183" s="62"/>
      <c r="P183" s="62"/>
      <c r="Q183" s="62"/>
      <c r="R183" s="62"/>
      <c r="W183" s="60"/>
    </row>
    <row r="184" spans="1:23" s="214" customFormat="1" x14ac:dyDescent="0.25">
      <c r="A184" s="266"/>
      <c r="B184" s="266"/>
      <c r="C184" s="54"/>
      <c r="D184" s="267"/>
      <c r="E184" s="268"/>
      <c r="F184" s="55"/>
      <c r="G184" s="269"/>
      <c r="H184" s="269"/>
      <c r="I184" s="55"/>
      <c r="J184" s="269"/>
      <c r="K184" s="270"/>
      <c r="L184" s="269"/>
      <c r="M184" s="62"/>
      <c r="N184" s="62"/>
      <c r="O184" s="62"/>
      <c r="P184" s="62"/>
      <c r="Q184" s="62"/>
      <c r="R184" s="62"/>
      <c r="W184" s="60"/>
    </row>
    <row r="185" spans="1:23" s="214" customFormat="1" x14ac:dyDescent="0.25">
      <c r="A185" s="266"/>
      <c r="B185" s="266"/>
      <c r="C185" s="54"/>
      <c r="D185" s="267"/>
      <c r="E185" s="268"/>
      <c r="F185" s="55"/>
      <c r="G185" s="269"/>
      <c r="H185" s="269"/>
      <c r="I185" s="55"/>
      <c r="J185" s="269"/>
      <c r="K185" s="270"/>
      <c r="L185" s="269"/>
      <c r="M185" s="62"/>
      <c r="N185" s="62"/>
      <c r="O185" s="62"/>
      <c r="P185" s="62"/>
      <c r="Q185" s="62"/>
      <c r="R185" s="62"/>
      <c r="W185" s="60"/>
    </row>
    <row r="186" spans="1:23" s="214" customFormat="1" x14ac:dyDescent="0.25">
      <c r="A186" s="266"/>
      <c r="B186" s="266"/>
      <c r="C186" s="54"/>
      <c r="D186" s="267"/>
      <c r="E186" s="268"/>
      <c r="F186" s="55"/>
      <c r="G186" s="269"/>
      <c r="H186" s="269"/>
      <c r="I186" s="55"/>
      <c r="J186" s="269"/>
      <c r="K186" s="270"/>
      <c r="L186" s="269"/>
      <c r="M186" s="62"/>
      <c r="N186" s="62"/>
      <c r="O186" s="62"/>
      <c r="P186" s="62"/>
      <c r="Q186" s="62"/>
      <c r="R186" s="62"/>
      <c r="W186" s="60"/>
    </row>
    <row r="187" spans="1:23" s="214" customFormat="1" x14ac:dyDescent="0.25">
      <c r="A187" s="266"/>
      <c r="B187" s="266"/>
      <c r="C187" s="54"/>
      <c r="D187" s="267"/>
      <c r="E187" s="268"/>
      <c r="F187" s="55"/>
      <c r="G187" s="269"/>
      <c r="H187" s="269"/>
      <c r="I187" s="55"/>
      <c r="J187" s="269"/>
      <c r="K187" s="270"/>
      <c r="L187" s="269"/>
      <c r="M187" s="62"/>
      <c r="N187" s="62"/>
      <c r="O187" s="62"/>
      <c r="P187" s="62"/>
      <c r="Q187" s="62"/>
      <c r="R187" s="62"/>
      <c r="W187" s="60"/>
    </row>
    <row r="188" spans="1:23" s="214" customFormat="1" x14ac:dyDescent="0.25">
      <c r="A188" s="266"/>
      <c r="B188" s="266"/>
      <c r="C188" s="54"/>
      <c r="D188" s="267"/>
      <c r="E188" s="268"/>
      <c r="F188" s="55"/>
      <c r="G188" s="269"/>
      <c r="H188" s="269"/>
      <c r="I188" s="55"/>
      <c r="J188" s="269"/>
      <c r="K188" s="270"/>
      <c r="L188" s="269"/>
      <c r="M188" s="62"/>
      <c r="N188" s="62"/>
      <c r="O188" s="62"/>
      <c r="P188" s="62"/>
      <c r="Q188" s="62"/>
      <c r="R188" s="62"/>
      <c r="W188" s="60"/>
    </row>
    <row r="189" spans="1:23" s="214" customFormat="1" x14ac:dyDescent="0.25">
      <c r="A189" s="266"/>
      <c r="B189" s="266"/>
      <c r="C189" s="54"/>
      <c r="D189" s="267"/>
      <c r="E189" s="268"/>
      <c r="F189" s="55"/>
      <c r="G189" s="269"/>
      <c r="H189" s="269"/>
      <c r="I189" s="55"/>
      <c r="J189" s="269"/>
      <c r="K189" s="270"/>
      <c r="L189" s="269"/>
      <c r="M189" s="62"/>
      <c r="N189" s="62"/>
      <c r="O189" s="62"/>
      <c r="P189" s="62"/>
      <c r="Q189" s="62"/>
      <c r="R189" s="62"/>
      <c r="W189" s="60"/>
    </row>
    <row r="190" spans="1:23" s="214" customFormat="1" x14ac:dyDescent="0.25">
      <c r="A190" s="266"/>
      <c r="B190" s="266"/>
      <c r="C190" s="54"/>
      <c r="D190" s="267"/>
      <c r="E190" s="268"/>
      <c r="F190" s="55"/>
      <c r="G190" s="269"/>
      <c r="H190" s="269"/>
      <c r="I190" s="55"/>
      <c r="J190" s="269"/>
      <c r="K190" s="270"/>
      <c r="L190" s="269"/>
      <c r="M190" s="62"/>
      <c r="N190" s="62"/>
      <c r="O190" s="62"/>
      <c r="P190" s="62"/>
      <c r="Q190" s="62"/>
      <c r="R190" s="62"/>
      <c r="W190" s="60"/>
    </row>
    <row r="191" spans="1:23" s="214" customFormat="1" x14ac:dyDescent="0.25">
      <c r="A191" s="266"/>
      <c r="B191" s="266"/>
      <c r="C191" s="54"/>
      <c r="D191" s="267"/>
      <c r="E191" s="268"/>
      <c r="F191" s="55"/>
      <c r="G191" s="269"/>
      <c r="H191" s="269"/>
      <c r="I191" s="55"/>
      <c r="J191" s="269"/>
      <c r="K191" s="270"/>
      <c r="L191" s="269"/>
      <c r="M191" s="62"/>
      <c r="N191" s="62"/>
      <c r="O191" s="62"/>
      <c r="P191" s="62"/>
      <c r="Q191" s="62"/>
      <c r="R191" s="62"/>
      <c r="W191" s="60"/>
    </row>
    <row r="192" spans="1:23" s="214" customFormat="1" x14ac:dyDescent="0.25">
      <c r="A192" s="266"/>
      <c r="B192" s="266"/>
      <c r="C192" s="54"/>
      <c r="D192" s="267"/>
      <c r="E192" s="268"/>
      <c r="F192" s="55"/>
      <c r="G192" s="269"/>
      <c r="H192" s="269"/>
      <c r="I192" s="55"/>
      <c r="J192" s="269"/>
      <c r="K192" s="270"/>
      <c r="L192" s="269"/>
      <c r="M192" s="62"/>
      <c r="N192" s="62"/>
      <c r="O192" s="62"/>
      <c r="P192" s="62"/>
      <c r="Q192" s="62"/>
      <c r="R192" s="62"/>
      <c r="W192" s="60"/>
    </row>
    <row r="193" spans="1:23" s="214" customFormat="1" x14ac:dyDescent="0.25">
      <c r="A193" s="266"/>
      <c r="B193" s="266"/>
      <c r="C193" s="54"/>
      <c r="D193" s="267"/>
      <c r="E193" s="268"/>
      <c r="F193" s="55"/>
      <c r="G193" s="269"/>
      <c r="H193" s="269"/>
      <c r="I193" s="55"/>
      <c r="J193" s="269"/>
      <c r="K193" s="270"/>
      <c r="L193" s="269"/>
      <c r="M193" s="62"/>
      <c r="N193" s="62"/>
      <c r="O193" s="62"/>
      <c r="P193" s="62"/>
      <c r="Q193" s="62"/>
      <c r="R193" s="62"/>
      <c r="W193" s="60"/>
    </row>
    <row r="194" spans="1:23" s="214" customFormat="1" x14ac:dyDescent="0.25">
      <c r="A194" s="266"/>
      <c r="B194" s="266"/>
      <c r="C194" s="54"/>
      <c r="D194" s="267"/>
      <c r="E194" s="268"/>
      <c r="F194" s="55"/>
      <c r="G194" s="269"/>
      <c r="H194" s="269"/>
      <c r="I194" s="55"/>
      <c r="J194" s="269"/>
      <c r="K194" s="270"/>
      <c r="L194" s="269"/>
      <c r="M194" s="62"/>
      <c r="N194" s="62"/>
      <c r="O194" s="62"/>
      <c r="P194" s="62"/>
      <c r="Q194" s="62"/>
      <c r="R194" s="62"/>
      <c r="W194" s="60"/>
    </row>
    <row r="195" spans="1:23" s="214" customFormat="1" x14ac:dyDescent="0.25">
      <c r="A195" s="266"/>
      <c r="B195" s="266"/>
      <c r="C195" s="54"/>
      <c r="D195" s="267"/>
      <c r="E195" s="268"/>
      <c r="F195" s="55"/>
      <c r="G195" s="269"/>
      <c r="H195" s="269"/>
      <c r="I195" s="55"/>
      <c r="J195" s="269"/>
      <c r="K195" s="270"/>
      <c r="L195" s="269"/>
      <c r="M195" s="62"/>
      <c r="N195" s="62"/>
      <c r="O195" s="62"/>
      <c r="P195" s="62"/>
      <c r="Q195" s="62"/>
      <c r="R195" s="62"/>
      <c r="W195" s="60"/>
    </row>
    <row r="196" spans="1:23" s="214" customFormat="1" x14ac:dyDescent="0.25">
      <c r="A196" s="266"/>
      <c r="B196" s="266"/>
      <c r="C196" s="54"/>
      <c r="D196" s="267"/>
      <c r="E196" s="268"/>
      <c r="F196" s="55"/>
      <c r="G196" s="269"/>
      <c r="H196" s="269"/>
      <c r="I196" s="55"/>
      <c r="J196" s="269"/>
      <c r="K196" s="270"/>
      <c r="L196" s="269"/>
      <c r="M196" s="62"/>
      <c r="N196" s="62"/>
      <c r="O196" s="62"/>
      <c r="P196" s="62"/>
      <c r="Q196" s="62"/>
      <c r="R196" s="62"/>
      <c r="W196" s="60"/>
    </row>
    <row r="197" spans="1:23" s="214" customFormat="1" x14ac:dyDescent="0.25">
      <c r="A197" s="266"/>
      <c r="B197" s="266"/>
      <c r="C197" s="54"/>
      <c r="D197" s="267"/>
      <c r="E197" s="268"/>
      <c r="F197" s="55"/>
      <c r="G197" s="269"/>
      <c r="H197" s="269"/>
      <c r="I197" s="55"/>
      <c r="J197" s="269"/>
      <c r="K197" s="270"/>
      <c r="L197" s="269"/>
      <c r="M197" s="62"/>
      <c r="N197" s="62"/>
      <c r="O197" s="62"/>
      <c r="P197" s="62"/>
      <c r="Q197" s="62"/>
      <c r="R197" s="62"/>
      <c r="W197" s="60"/>
    </row>
    <row r="198" spans="1:23" s="214" customFormat="1" x14ac:dyDescent="0.25">
      <c r="A198" s="266"/>
      <c r="B198" s="266"/>
      <c r="C198" s="54"/>
      <c r="D198" s="267"/>
      <c r="E198" s="268"/>
      <c r="F198" s="55"/>
      <c r="G198" s="269"/>
      <c r="H198" s="269"/>
      <c r="I198" s="55"/>
      <c r="J198" s="269"/>
      <c r="K198" s="270"/>
      <c r="L198" s="269"/>
      <c r="M198" s="62"/>
      <c r="N198" s="62"/>
      <c r="O198" s="62"/>
      <c r="P198" s="62"/>
      <c r="Q198" s="62"/>
      <c r="R198" s="62"/>
      <c r="W198" s="60"/>
    </row>
    <row r="199" spans="1:23" s="214" customFormat="1" x14ac:dyDescent="0.25">
      <c r="A199" s="266"/>
      <c r="B199" s="266"/>
      <c r="C199" s="54"/>
      <c r="D199" s="267"/>
      <c r="E199" s="268"/>
      <c r="F199" s="55"/>
      <c r="G199" s="269"/>
      <c r="H199" s="269"/>
      <c r="I199" s="55"/>
      <c r="J199" s="269"/>
      <c r="K199" s="270"/>
      <c r="L199" s="269"/>
      <c r="M199" s="62"/>
      <c r="N199" s="62"/>
      <c r="O199" s="62"/>
      <c r="P199" s="62"/>
      <c r="Q199" s="62"/>
      <c r="R199" s="62"/>
      <c r="W199" s="60"/>
    </row>
    <row r="200" spans="1:23" s="214" customFormat="1" x14ac:dyDescent="0.25">
      <c r="A200" s="266"/>
      <c r="B200" s="266"/>
      <c r="C200" s="54"/>
      <c r="D200" s="267"/>
      <c r="E200" s="268"/>
      <c r="F200" s="55"/>
      <c r="G200" s="269"/>
      <c r="H200" s="269"/>
      <c r="I200" s="55"/>
      <c r="J200" s="269"/>
      <c r="K200" s="270"/>
      <c r="L200" s="269"/>
      <c r="M200" s="62"/>
      <c r="N200" s="62"/>
      <c r="O200" s="62"/>
      <c r="P200" s="62"/>
      <c r="Q200" s="62"/>
      <c r="R200" s="62"/>
      <c r="W200" s="60"/>
    </row>
    <row r="201" spans="1:23" s="214" customFormat="1" x14ac:dyDescent="0.25">
      <c r="A201" s="266"/>
      <c r="B201" s="266"/>
      <c r="C201" s="54"/>
      <c r="D201" s="267"/>
      <c r="E201" s="268"/>
      <c r="F201" s="55"/>
      <c r="G201" s="269"/>
      <c r="H201" s="269"/>
      <c r="I201" s="55"/>
      <c r="J201" s="269"/>
      <c r="K201" s="270"/>
      <c r="L201" s="269"/>
      <c r="M201" s="62"/>
      <c r="N201" s="62"/>
      <c r="O201" s="62"/>
      <c r="P201" s="62"/>
      <c r="Q201" s="62"/>
      <c r="R201" s="62"/>
      <c r="W201" s="60"/>
    </row>
    <row r="202" spans="1:23" s="214" customFormat="1" x14ac:dyDescent="0.25">
      <c r="A202" s="266"/>
      <c r="B202" s="266"/>
      <c r="C202" s="54"/>
      <c r="D202" s="267"/>
      <c r="E202" s="268"/>
      <c r="F202" s="55"/>
      <c r="G202" s="269"/>
      <c r="H202" s="269"/>
      <c r="I202" s="55"/>
      <c r="J202" s="269"/>
      <c r="K202" s="270"/>
      <c r="L202" s="269"/>
      <c r="M202" s="62"/>
      <c r="N202" s="62"/>
      <c r="O202" s="62"/>
      <c r="P202" s="62"/>
      <c r="Q202" s="62"/>
      <c r="R202" s="62"/>
      <c r="W202" s="60"/>
    </row>
    <row r="203" spans="1:23" s="214" customFormat="1" x14ac:dyDescent="0.25">
      <c r="A203" s="266"/>
      <c r="B203" s="266"/>
      <c r="C203" s="54"/>
      <c r="D203" s="267"/>
      <c r="E203" s="268"/>
      <c r="F203" s="55"/>
      <c r="G203" s="269"/>
      <c r="H203" s="269"/>
      <c r="I203" s="55"/>
      <c r="J203" s="269"/>
      <c r="K203" s="270"/>
      <c r="L203" s="269"/>
      <c r="M203" s="62"/>
      <c r="N203" s="62"/>
      <c r="O203" s="62"/>
      <c r="P203" s="62"/>
      <c r="Q203" s="62"/>
      <c r="R203" s="62"/>
      <c r="W203" s="60"/>
    </row>
    <row r="204" spans="1:23" s="214" customFormat="1" x14ac:dyDescent="0.25">
      <c r="A204" s="266"/>
      <c r="B204" s="266"/>
      <c r="C204" s="54"/>
      <c r="D204" s="267"/>
      <c r="E204" s="268"/>
      <c r="F204" s="55"/>
      <c r="G204" s="269"/>
      <c r="H204" s="269"/>
      <c r="I204" s="55"/>
      <c r="J204" s="269"/>
      <c r="K204" s="270"/>
      <c r="L204" s="269"/>
      <c r="M204" s="62"/>
      <c r="N204" s="62"/>
      <c r="O204" s="62"/>
      <c r="P204" s="62"/>
      <c r="Q204" s="62"/>
      <c r="R204" s="62"/>
      <c r="W204" s="60"/>
    </row>
    <row r="205" spans="1:23" s="214" customFormat="1" x14ac:dyDescent="0.25">
      <c r="A205" s="266"/>
      <c r="B205" s="266"/>
      <c r="C205" s="54"/>
      <c r="D205" s="267"/>
      <c r="E205" s="268"/>
      <c r="F205" s="55"/>
      <c r="G205" s="269"/>
      <c r="H205" s="269"/>
      <c r="I205" s="55"/>
      <c r="J205" s="269"/>
      <c r="K205" s="270"/>
      <c r="L205" s="269"/>
      <c r="M205" s="62"/>
      <c r="N205" s="62"/>
      <c r="O205" s="62"/>
      <c r="P205" s="62"/>
      <c r="Q205" s="62"/>
      <c r="R205" s="62"/>
      <c r="W205" s="60"/>
    </row>
    <row r="206" spans="1:23" s="214" customFormat="1" x14ac:dyDescent="0.25">
      <c r="A206" s="266"/>
      <c r="B206" s="266"/>
      <c r="C206" s="54"/>
      <c r="D206" s="267"/>
      <c r="E206" s="268"/>
      <c r="F206" s="55"/>
      <c r="G206" s="269"/>
      <c r="H206" s="269"/>
      <c r="I206" s="55"/>
      <c r="J206" s="269"/>
      <c r="K206" s="270"/>
      <c r="L206" s="269"/>
      <c r="M206" s="62"/>
      <c r="N206" s="62"/>
      <c r="O206" s="62"/>
      <c r="P206" s="62"/>
      <c r="Q206" s="62"/>
      <c r="R206" s="62"/>
      <c r="W206" s="60"/>
    </row>
    <row r="207" spans="1:23" s="214" customFormat="1" x14ac:dyDescent="0.25">
      <c r="A207" s="266"/>
      <c r="B207" s="266"/>
      <c r="C207" s="54"/>
      <c r="D207" s="267"/>
      <c r="E207" s="268"/>
      <c r="F207" s="55"/>
      <c r="G207" s="269"/>
      <c r="H207" s="269"/>
      <c r="I207" s="55"/>
      <c r="J207" s="269"/>
      <c r="K207" s="270"/>
      <c r="L207" s="269"/>
      <c r="M207" s="62"/>
      <c r="N207" s="62"/>
      <c r="O207" s="62"/>
      <c r="P207" s="62"/>
      <c r="Q207" s="62"/>
      <c r="R207" s="62"/>
      <c r="W207" s="60"/>
    </row>
    <row r="208" spans="1:23" s="214" customFormat="1" x14ac:dyDescent="0.25">
      <c r="A208" s="266"/>
      <c r="B208" s="266"/>
      <c r="C208" s="54"/>
      <c r="D208" s="267"/>
      <c r="E208" s="268"/>
      <c r="F208" s="55"/>
      <c r="G208" s="269"/>
      <c r="H208" s="269"/>
      <c r="I208" s="55"/>
      <c r="J208" s="269"/>
      <c r="K208" s="270"/>
      <c r="L208" s="269"/>
      <c r="M208" s="62"/>
      <c r="N208" s="62"/>
      <c r="O208" s="62"/>
      <c r="P208" s="62"/>
      <c r="Q208" s="62"/>
      <c r="R208" s="62"/>
      <c r="W208" s="60"/>
    </row>
    <row r="209" spans="1:23" s="214" customFormat="1" x14ac:dyDescent="0.25">
      <c r="A209" s="266"/>
      <c r="B209" s="266"/>
      <c r="C209" s="54"/>
      <c r="D209" s="267"/>
      <c r="E209" s="268"/>
      <c r="F209" s="55"/>
      <c r="G209" s="269"/>
      <c r="H209" s="269"/>
      <c r="I209" s="55"/>
      <c r="J209" s="269"/>
      <c r="K209" s="270"/>
      <c r="L209" s="269"/>
      <c r="M209" s="62"/>
      <c r="N209" s="62"/>
      <c r="O209" s="62"/>
      <c r="P209" s="62"/>
      <c r="Q209" s="62"/>
      <c r="R209" s="62"/>
      <c r="W209" s="60"/>
    </row>
    <row r="210" spans="1:23" s="214" customFormat="1" x14ac:dyDescent="0.25">
      <c r="A210" s="266"/>
      <c r="B210" s="266"/>
      <c r="C210" s="54"/>
      <c r="D210" s="267"/>
      <c r="E210" s="268"/>
      <c r="F210" s="55"/>
      <c r="G210" s="269"/>
      <c r="H210" s="269"/>
      <c r="I210" s="55"/>
      <c r="J210" s="269"/>
      <c r="K210" s="270"/>
      <c r="L210" s="269"/>
      <c r="M210" s="62"/>
      <c r="N210" s="62"/>
      <c r="O210" s="62"/>
      <c r="P210" s="62"/>
      <c r="Q210" s="62"/>
      <c r="R210" s="62"/>
      <c r="W210" s="60"/>
    </row>
    <row r="211" spans="1:23" s="214" customFormat="1" x14ac:dyDescent="0.25">
      <c r="A211" s="266"/>
      <c r="B211" s="266"/>
      <c r="C211" s="54"/>
      <c r="D211" s="267"/>
      <c r="E211" s="268"/>
      <c r="F211" s="55"/>
      <c r="G211" s="269"/>
      <c r="H211" s="269"/>
      <c r="I211" s="55"/>
      <c r="J211" s="269"/>
      <c r="K211" s="270"/>
      <c r="L211" s="269"/>
      <c r="M211" s="62"/>
      <c r="N211" s="62"/>
      <c r="O211" s="62"/>
      <c r="P211" s="62"/>
      <c r="Q211" s="62"/>
      <c r="R211" s="62"/>
      <c r="W211" s="60"/>
    </row>
    <row r="212" spans="1:23" s="214" customFormat="1" x14ac:dyDescent="0.25">
      <c r="A212" s="266"/>
      <c r="B212" s="266"/>
      <c r="C212" s="54"/>
      <c r="D212" s="267"/>
      <c r="E212" s="268"/>
      <c r="F212" s="55"/>
      <c r="G212" s="269"/>
      <c r="H212" s="269"/>
      <c r="I212" s="55"/>
      <c r="J212" s="269"/>
      <c r="K212" s="270"/>
      <c r="L212" s="269"/>
      <c r="M212" s="62"/>
      <c r="N212" s="62"/>
      <c r="O212" s="62"/>
      <c r="P212" s="62"/>
      <c r="Q212" s="62"/>
      <c r="R212" s="62"/>
      <c r="W212" s="60"/>
    </row>
    <row r="213" spans="1:23" s="214" customFormat="1" x14ac:dyDescent="0.25">
      <c r="A213" s="266"/>
      <c r="B213" s="266"/>
      <c r="C213" s="54"/>
      <c r="D213" s="267"/>
      <c r="E213" s="268"/>
      <c r="F213" s="55"/>
      <c r="G213" s="269"/>
      <c r="H213" s="269"/>
      <c r="I213" s="55"/>
      <c r="J213" s="269"/>
      <c r="K213" s="270"/>
      <c r="L213" s="269"/>
      <c r="M213" s="62"/>
      <c r="N213" s="62"/>
      <c r="O213" s="62"/>
      <c r="P213" s="62"/>
      <c r="Q213" s="62"/>
      <c r="R213" s="62"/>
      <c r="W213" s="60"/>
    </row>
    <row r="214" spans="1:23" s="214" customFormat="1" x14ac:dyDescent="0.25">
      <c r="A214" s="266"/>
      <c r="B214" s="266"/>
      <c r="C214" s="54"/>
      <c r="D214" s="267"/>
      <c r="E214" s="268"/>
      <c r="F214" s="55"/>
      <c r="G214" s="269"/>
      <c r="H214" s="269"/>
      <c r="I214" s="55"/>
      <c r="J214" s="269"/>
      <c r="K214" s="270"/>
      <c r="L214" s="269"/>
      <c r="M214" s="62"/>
      <c r="N214" s="62"/>
      <c r="O214" s="62"/>
      <c r="P214" s="62"/>
      <c r="Q214" s="62"/>
      <c r="R214" s="62"/>
      <c r="W214" s="60"/>
    </row>
    <row r="215" spans="1:23" s="214" customFormat="1" x14ac:dyDescent="0.25">
      <c r="A215" s="266"/>
      <c r="B215" s="266"/>
      <c r="C215" s="54"/>
      <c r="D215" s="267"/>
      <c r="E215" s="268"/>
      <c r="F215" s="55"/>
      <c r="G215" s="269"/>
      <c r="H215" s="269"/>
      <c r="I215" s="55"/>
      <c r="J215" s="269"/>
      <c r="K215" s="270"/>
      <c r="L215" s="269"/>
      <c r="M215" s="62"/>
      <c r="N215" s="62"/>
      <c r="O215" s="62"/>
      <c r="P215" s="62"/>
      <c r="Q215" s="62"/>
      <c r="R215" s="62"/>
      <c r="W215" s="60"/>
    </row>
    <row r="216" spans="1:23" s="214" customFormat="1" x14ac:dyDescent="0.25">
      <c r="A216" s="266"/>
      <c r="B216" s="266"/>
      <c r="C216" s="54"/>
      <c r="D216" s="267"/>
      <c r="E216" s="268"/>
      <c r="F216" s="55"/>
      <c r="G216" s="269"/>
      <c r="H216" s="269"/>
      <c r="I216" s="55"/>
      <c r="J216" s="269"/>
      <c r="K216" s="270"/>
      <c r="L216" s="269"/>
      <c r="M216" s="62"/>
      <c r="N216" s="62"/>
      <c r="O216" s="62"/>
      <c r="P216" s="62"/>
      <c r="Q216" s="62"/>
      <c r="R216" s="62"/>
      <c r="W216" s="60"/>
    </row>
    <row r="217" spans="1:23" s="214" customFormat="1" x14ac:dyDescent="0.25">
      <c r="A217" s="266"/>
      <c r="B217" s="266"/>
      <c r="C217" s="54"/>
      <c r="D217" s="267"/>
      <c r="E217" s="268"/>
      <c r="F217" s="55"/>
      <c r="G217" s="269"/>
      <c r="H217" s="269"/>
      <c r="I217" s="55"/>
      <c r="J217" s="269"/>
      <c r="K217" s="270"/>
      <c r="L217" s="269"/>
      <c r="M217" s="62"/>
      <c r="N217" s="62"/>
      <c r="O217" s="62"/>
      <c r="P217" s="62"/>
      <c r="Q217" s="62"/>
      <c r="R217" s="62"/>
      <c r="W217" s="60"/>
    </row>
    <row r="218" spans="1:23" s="214" customFormat="1" x14ac:dyDescent="0.25">
      <c r="A218" s="266"/>
      <c r="B218" s="266"/>
      <c r="C218" s="54"/>
      <c r="D218" s="267"/>
      <c r="E218" s="268"/>
      <c r="F218" s="55"/>
      <c r="G218" s="269"/>
      <c r="H218" s="269"/>
      <c r="I218" s="55"/>
      <c r="J218" s="269"/>
      <c r="K218" s="270"/>
      <c r="L218" s="269"/>
      <c r="M218" s="62"/>
      <c r="N218" s="62"/>
      <c r="O218" s="62"/>
      <c r="P218" s="62"/>
      <c r="Q218" s="62"/>
      <c r="R218" s="62"/>
      <c r="W218" s="60"/>
    </row>
    <row r="219" spans="1:23" s="214" customFormat="1" x14ac:dyDescent="0.25">
      <c r="A219" s="266"/>
      <c r="B219" s="266"/>
      <c r="C219" s="54"/>
      <c r="D219" s="267"/>
      <c r="E219" s="268"/>
      <c r="F219" s="55"/>
      <c r="G219" s="269"/>
      <c r="H219" s="269"/>
      <c r="I219" s="55"/>
      <c r="J219" s="269"/>
      <c r="K219" s="270"/>
      <c r="L219" s="269"/>
      <c r="M219" s="62"/>
      <c r="N219" s="62"/>
      <c r="O219" s="62"/>
      <c r="P219" s="62"/>
      <c r="Q219" s="62"/>
      <c r="R219" s="62"/>
      <c r="W219" s="60"/>
    </row>
    <row r="220" spans="1:23" s="214" customFormat="1" x14ac:dyDescent="0.25">
      <c r="A220" s="266"/>
      <c r="B220" s="266"/>
      <c r="C220" s="54"/>
      <c r="D220" s="267"/>
      <c r="E220" s="268"/>
      <c r="F220" s="55"/>
      <c r="G220" s="269"/>
      <c r="H220" s="269"/>
      <c r="I220" s="55"/>
      <c r="J220" s="269"/>
      <c r="K220" s="270"/>
      <c r="L220" s="269"/>
      <c r="M220" s="62"/>
      <c r="N220" s="62"/>
      <c r="O220" s="62"/>
      <c r="P220" s="62"/>
      <c r="Q220" s="62"/>
      <c r="R220" s="62"/>
      <c r="W220" s="60"/>
    </row>
    <row r="221" spans="1:23" s="214" customFormat="1" x14ac:dyDescent="0.25">
      <c r="A221" s="266"/>
      <c r="B221" s="266"/>
      <c r="C221" s="54"/>
      <c r="D221" s="267"/>
      <c r="E221" s="268"/>
      <c r="F221" s="55"/>
      <c r="G221" s="269"/>
      <c r="H221" s="269"/>
      <c r="I221" s="55"/>
      <c r="J221" s="269"/>
      <c r="K221" s="270"/>
      <c r="L221" s="269"/>
      <c r="M221" s="62"/>
      <c r="N221" s="62"/>
      <c r="O221" s="62"/>
      <c r="P221" s="62"/>
      <c r="Q221" s="62"/>
      <c r="R221" s="62"/>
      <c r="W221" s="60"/>
    </row>
    <row r="222" spans="1:23" s="214" customFormat="1" x14ac:dyDescent="0.25">
      <c r="A222" s="266"/>
      <c r="B222" s="266"/>
      <c r="C222" s="54"/>
      <c r="D222" s="267"/>
      <c r="E222" s="268"/>
      <c r="F222" s="55"/>
      <c r="G222" s="269"/>
      <c r="H222" s="269"/>
      <c r="I222" s="55"/>
      <c r="J222" s="269"/>
      <c r="K222" s="270"/>
      <c r="L222" s="269"/>
      <c r="M222" s="62"/>
      <c r="N222" s="62"/>
      <c r="O222" s="62"/>
      <c r="P222" s="62"/>
      <c r="Q222" s="62"/>
      <c r="R222" s="62"/>
      <c r="W222" s="60"/>
    </row>
    <row r="223" spans="1:23" s="214" customFormat="1" x14ac:dyDescent="0.25">
      <c r="A223" s="266"/>
      <c r="B223" s="266"/>
      <c r="C223" s="54"/>
      <c r="D223" s="267"/>
      <c r="E223" s="268"/>
      <c r="F223" s="55"/>
      <c r="G223" s="269"/>
      <c r="H223" s="269"/>
      <c r="I223" s="55"/>
      <c r="J223" s="269"/>
      <c r="K223" s="270"/>
      <c r="L223" s="269"/>
      <c r="M223" s="62"/>
      <c r="N223" s="62"/>
      <c r="O223" s="62"/>
      <c r="P223" s="62"/>
      <c r="Q223" s="62"/>
      <c r="R223" s="62"/>
      <c r="W223" s="60"/>
    </row>
    <row r="224" spans="1:23" s="214" customFormat="1" x14ac:dyDescent="0.25">
      <c r="A224" s="266"/>
      <c r="B224" s="266"/>
      <c r="C224" s="54"/>
      <c r="D224" s="267"/>
      <c r="E224" s="268"/>
      <c r="F224" s="55"/>
      <c r="G224" s="269"/>
      <c r="H224" s="269"/>
      <c r="I224" s="55"/>
      <c r="J224" s="269"/>
      <c r="K224" s="270"/>
      <c r="L224" s="269"/>
      <c r="M224" s="62"/>
      <c r="N224" s="62"/>
      <c r="O224" s="62"/>
      <c r="P224" s="62"/>
      <c r="Q224" s="62"/>
      <c r="R224" s="62"/>
      <c r="W224" s="60"/>
    </row>
    <row r="225" spans="1:23" s="214" customFormat="1" x14ac:dyDescent="0.25">
      <c r="A225" s="266"/>
      <c r="B225" s="266"/>
      <c r="C225" s="54"/>
      <c r="D225" s="267"/>
      <c r="E225" s="268"/>
      <c r="F225" s="55"/>
      <c r="G225" s="269"/>
      <c r="H225" s="269"/>
      <c r="I225" s="55"/>
      <c r="J225" s="269"/>
      <c r="K225" s="270"/>
      <c r="L225" s="269"/>
      <c r="M225" s="62"/>
      <c r="N225" s="62"/>
      <c r="O225" s="62"/>
      <c r="P225" s="62"/>
      <c r="Q225" s="62"/>
      <c r="R225" s="62"/>
      <c r="W225" s="60"/>
    </row>
    <row r="226" spans="1:23" s="214" customFormat="1" x14ac:dyDescent="0.25">
      <c r="A226" s="266"/>
      <c r="B226" s="266"/>
      <c r="C226" s="54"/>
      <c r="D226" s="267"/>
      <c r="E226" s="268"/>
      <c r="F226" s="55"/>
      <c r="G226" s="269"/>
      <c r="H226" s="269"/>
      <c r="I226" s="55"/>
      <c r="J226" s="269"/>
      <c r="K226" s="270"/>
      <c r="L226" s="269"/>
      <c r="M226" s="62"/>
      <c r="N226" s="62"/>
      <c r="O226" s="62"/>
      <c r="P226" s="62"/>
      <c r="Q226" s="62"/>
      <c r="R226" s="62"/>
      <c r="W226" s="60"/>
    </row>
    <row r="227" spans="1:23" s="214" customFormat="1" x14ac:dyDescent="0.25">
      <c r="A227" s="266"/>
      <c r="B227" s="266"/>
      <c r="C227" s="54"/>
      <c r="D227" s="267"/>
      <c r="E227" s="268"/>
      <c r="F227" s="55"/>
      <c r="G227" s="269"/>
      <c r="H227" s="269"/>
      <c r="I227" s="55"/>
      <c r="J227" s="269"/>
      <c r="K227" s="270"/>
      <c r="L227" s="269"/>
      <c r="M227" s="62"/>
      <c r="N227" s="62"/>
      <c r="O227" s="62"/>
      <c r="P227" s="62"/>
      <c r="Q227" s="62"/>
      <c r="R227" s="62"/>
      <c r="W227" s="60"/>
    </row>
    <row r="228" spans="1:23" s="214" customFormat="1" x14ac:dyDescent="0.25">
      <c r="A228" s="266"/>
      <c r="B228" s="266"/>
      <c r="C228" s="54"/>
      <c r="D228" s="267"/>
      <c r="E228" s="268"/>
      <c r="F228" s="55"/>
      <c r="G228" s="269"/>
      <c r="H228" s="269"/>
      <c r="I228" s="55"/>
      <c r="J228" s="269"/>
      <c r="K228" s="270"/>
      <c r="L228" s="269"/>
      <c r="M228" s="62"/>
      <c r="N228" s="62"/>
      <c r="O228" s="62"/>
      <c r="P228" s="62"/>
      <c r="Q228" s="62"/>
      <c r="R228" s="62"/>
      <c r="W228" s="60"/>
    </row>
    <row r="229" spans="1:23" s="214" customFormat="1" x14ac:dyDescent="0.25">
      <c r="A229" s="266"/>
      <c r="B229" s="266"/>
      <c r="C229" s="54"/>
      <c r="D229" s="267"/>
      <c r="E229" s="268"/>
      <c r="F229" s="55"/>
      <c r="G229" s="269"/>
      <c r="H229" s="269"/>
      <c r="I229" s="55"/>
      <c r="J229" s="269"/>
      <c r="K229" s="270"/>
      <c r="L229" s="269"/>
      <c r="M229" s="62"/>
      <c r="N229" s="62"/>
      <c r="O229" s="62"/>
      <c r="P229" s="62"/>
      <c r="Q229" s="62"/>
      <c r="R229" s="62"/>
      <c r="W229" s="60"/>
    </row>
    <row r="230" spans="1:23" s="214" customFormat="1" x14ac:dyDescent="0.25">
      <c r="A230" s="266"/>
      <c r="B230" s="266"/>
      <c r="C230" s="54"/>
      <c r="D230" s="267"/>
      <c r="E230" s="268"/>
      <c r="F230" s="55"/>
      <c r="G230" s="269"/>
      <c r="H230" s="269"/>
      <c r="I230" s="55"/>
      <c r="J230" s="269"/>
      <c r="K230" s="270"/>
      <c r="L230" s="269"/>
      <c r="M230" s="62"/>
      <c r="N230" s="62"/>
      <c r="O230" s="62"/>
      <c r="P230" s="62"/>
      <c r="Q230" s="62"/>
      <c r="R230" s="62"/>
      <c r="W230" s="60"/>
    </row>
    <row r="231" spans="1:23" s="214" customFormat="1" x14ac:dyDescent="0.25">
      <c r="A231" s="266"/>
      <c r="B231" s="266"/>
      <c r="C231" s="54"/>
      <c r="D231" s="267"/>
      <c r="E231" s="268"/>
      <c r="F231" s="55"/>
      <c r="G231" s="269"/>
      <c r="H231" s="269"/>
      <c r="I231" s="55"/>
      <c r="J231" s="269"/>
      <c r="K231" s="270"/>
      <c r="L231" s="269"/>
      <c r="M231" s="62"/>
      <c r="N231" s="62"/>
      <c r="O231" s="62"/>
      <c r="P231" s="62"/>
      <c r="Q231" s="62"/>
      <c r="R231" s="62"/>
      <c r="W231" s="60"/>
    </row>
    <row r="232" spans="1:23" s="214" customFormat="1" x14ac:dyDescent="0.25">
      <c r="A232" s="266"/>
      <c r="B232" s="266"/>
      <c r="C232" s="54"/>
      <c r="D232" s="267"/>
      <c r="E232" s="268"/>
      <c r="F232" s="55"/>
      <c r="G232" s="269"/>
      <c r="H232" s="269"/>
      <c r="I232" s="55"/>
      <c r="J232" s="269"/>
      <c r="K232" s="270"/>
      <c r="L232" s="269"/>
      <c r="M232" s="62"/>
      <c r="N232" s="62"/>
      <c r="O232" s="62"/>
      <c r="P232" s="62"/>
      <c r="Q232" s="62"/>
      <c r="R232" s="62"/>
      <c r="W232" s="60"/>
    </row>
    <row r="233" spans="1:23" s="214" customFormat="1" x14ac:dyDescent="0.25">
      <c r="A233" s="266"/>
      <c r="B233" s="266"/>
      <c r="C233" s="54"/>
      <c r="D233" s="267"/>
      <c r="E233" s="268"/>
      <c r="F233" s="55"/>
      <c r="G233" s="269"/>
      <c r="H233" s="269"/>
      <c r="I233" s="55"/>
      <c r="J233" s="269"/>
      <c r="K233" s="270"/>
      <c r="L233" s="269"/>
      <c r="M233" s="62"/>
      <c r="N233" s="62"/>
      <c r="O233" s="62"/>
      <c r="P233" s="62"/>
      <c r="Q233" s="62"/>
      <c r="R233" s="62"/>
      <c r="W233" s="60"/>
    </row>
    <row r="234" spans="1:23" s="214" customFormat="1" x14ac:dyDescent="0.25">
      <c r="A234" s="266"/>
      <c r="B234" s="266"/>
      <c r="C234" s="54"/>
      <c r="D234" s="267"/>
      <c r="E234" s="268"/>
      <c r="F234" s="55"/>
      <c r="G234" s="269"/>
      <c r="H234" s="269"/>
      <c r="I234" s="55"/>
      <c r="J234" s="269"/>
      <c r="K234" s="270"/>
      <c r="L234" s="269"/>
      <c r="M234" s="62"/>
      <c r="N234" s="62"/>
      <c r="O234" s="62"/>
      <c r="P234" s="62"/>
      <c r="Q234" s="62"/>
      <c r="R234" s="62"/>
      <c r="W234" s="60"/>
    </row>
    <row r="235" spans="1:23" s="214" customFormat="1" x14ac:dyDescent="0.25">
      <c r="A235" s="266"/>
      <c r="B235" s="266"/>
      <c r="C235" s="54"/>
      <c r="D235" s="267"/>
      <c r="E235" s="268"/>
      <c r="F235" s="55"/>
      <c r="G235" s="269"/>
      <c r="H235" s="269"/>
      <c r="I235" s="55"/>
      <c r="J235" s="269"/>
      <c r="K235" s="270"/>
      <c r="L235" s="269"/>
      <c r="M235" s="62"/>
      <c r="N235" s="62"/>
      <c r="O235" s="62"/>
      <c r="P235" s="62"/>
      <c r="Q235" s="62"/>
      <c r="R235" s="62"/>
      <c r="W235" s="60"/>
    </row>
    <row r="236" spans="1:23" s="214" customFormat="1" x14ac:dyDescent="0.25">
      <c r="A236" s="266"/>
      <c r="B236" s="266"/>
      <c r="C236" s="54"/>
      <c r="D236" s="267"/>
      <c r="E236" s="268"/>
      <c r="F236" s="55"/>
      <c r="G236" s="269"/>
      <c r="H236" s="269"/>
      <c r="I236" s="55"/>
      <c r="J236" s="269"/>
      <c r="K236" s="270"/>
      <c r="L236" s="269"/>
      <c r="M236" s="62"/>
      <c r="N236" s="62"/>
      <c r="O236" s="62"/>
      <c r="P236" s="62"/>
      <c r="Q236" s="62"/>
      <c r="R236" s="62"/>
      <c r="W236" s="60"/>
    </row>
    <row r="237" spans="1:23" s="214" customFormat="1" x14ac:dyDescent="0.25">
      <c r="A237" s="266"/>
      <c r="B237" s="266"/>
      <c r="C237" s="54"/>
      <c r="D237" s="267"/>
      <c r="E237" s="268"/>
      <c r="F237" s="55"/>
      <c r="G237" s="269"/>
      <c r="H237" s="269"/>
      <c r="I237" s="55"/>
      <c r="J237" s="269"/>
      <c r="K237" s="270"/>
      <c r="L237" s="269"/>
      <c r="M237" s="62"/>
      <c r="N237" s="62"/>
      <c r="O237" s="62"/>
      <c r="P237" s="62"/>
      <c r="Q237" s="62"/>
      <c r="R237" s="62"/>
      <c r="W237" s="60"/>
    </row>
    <row r="238" spans="1:23" s="214" customFormat="1" x14ac:dyDescent="0.25">
      <c r="A238" s="266"/>
      <c r="B238" s="266"/>
      <c r="C238" s="54"/>
      <c r="D238" s="267"/>
      <c r="E238" s="268"/>
      <c r="F238" s="55"/>
      <c r="G238" s="269"/>
      <c r="H238" s="269"/>
      <c r="I238" s="55"/>
      <c r="J238" s="269"/>
      <c r="K238" s="270"/>
      <c r="L238" s="269"/>
      <c r="M238" s="62"/>
      <c r="N238" s="62"/>
      <c r="O238" s="62"/>
      <c r="P238" s="62"/>
      <c r="Q238" s="62"/>
      <c r="R238" s="62"/>
      <c r="W238" s="60"/>
    </row>
    <row r="239" spans="1:23" s="214" customFormat="1" x14ac:dyDescent="0.25">
      <c r="A239" s="266"/>
      <c r="B239" s="266"/>
      <c r="C239" s="54"/>
      <c r="D239" s="267"/>
      <c r="E239" s="268"/>
      <c r="F239" s="55"/>
      <c r="G239" s="269"/>
      <c r="H239" s="269"/>
      <c r="I239" s="55"/>
      <c r="J239" s="269"/>
      <c r="K239" s="270"/>
      <c r="L239" s="269"/>
      <c r="M239" s="62"/>
      <c r="N239" s="62"/>
      <c r="O239" s="62"/>
      <c r="P239" s="62"/>
      <c r="Q239" s="62"/>
      <c r="R239" s="62"/>
      <c r="W239" s="60"/>
    </row>
    <row r="240" spans="1:23" s="214" customFormat="1" x14ac:dyDescent="0.25">
      <c r="A240" s="266"/>
      <c r="B240" s="266"/>
      <c r="C240" s="54"/>
      <c r="D240" s="267"/>
      <c r="E240" s="268"/>
      <c r="F240" s="55"/>
      <c r="G240" s="269"/>
      <c r="H240" s="269"/>
      <c r="I240" s="55"/>
      <c r="J240" s="269"/>
      <c r="K240" s="270"/>
      <c r="L240" s="269"/>
      <c r="M240" s="62"/>
      <c r="N240" s="62"/>
      <c r="O240" s="62"/>
      <c r="P240" s="62"/>
      <c r="Q240" s="62"/>
      <c r="R240" s="62"/>
      <c r="W240" s="60"/>
    </row>
    <row r="241" spans="1:23" s="214" customFormat="1" x14ac:dyDescent="0.25">
      <c r="A241" s="266"/>
      <c r="B241" s="266"/>
      <c r="C241" s="54"/>
      <c r="D241" s="267"/>
      <c r="E241" s="268"/>
      <c r="F241" s="55"/>
      <c r="G241" s="269"/>
      <c r="H241" s="269"/>
      <c r="I241" s="55"/>
      <c r="J241" s="269"/>
      <c r="K241" s="270"/>
      <c r="L241" s="269"/>
      <c r="M241" s="62"/>
      <c r="N241" s="62"/>
      <c r="O241" s="62"/>
      <c r="P241" s="62"/>
      <c r="Q241" s="62"/>
      <c r="R241" s="62"/>
      <c r="W241" s="60"/>
    </row>
    <row r="242" spans="1:23" s="214" customFormat="1" x14ac:dyDescent="0.25">
      <c r="A242" s="266"/>
      <c r="B242" s="266"/>
      <c r="C242" s="54"/>
      <c r="D242" s="267"/>
      <c r="E242" s="268"/>
      <c r="F242" s="55"/>
      <c r="G242" s="269"/>
      <c r="H242" s="269"/>
      <c r="I242" s="55"/>
      <c r="J242" s="269"/>
      <c r="K242" s="270"/>
      <c r="L242" s="269"/>
      <c r="M242" s="62"/>
      <c r="N242" s="62"/>
      <c r="O242" s="62"/>
      <c r="P242" s="62"/>
      <c r="Q242" s="62"/>
      <c r="R242" s="62"/>
      <c r="W242" s="60"/>
    </row>
    <row r="243" spans="1:23" s="214" customFormat="1" x14ac:dyDescent="0.25">
      <c r="A243" s="266"/>
      <c r="B243" s="266"/>
      <c r="C243" s="54"/>
      <c r="D243" s="267"/>
      <c r="E243" s="268"/>
      <c r="F243" s="55"/>
      <c r="G243" s="269"/>
      <c r="H243" s="269"/>
      <c r="I243" s="55"/>
      <c r="J243" s="269"/>
      <c r="K243" s="270"/>
      <c r="L243" s="269"/>
      <c r="M243" s="62"/>
      <c r="N243" s="62"/>
      <c r="O243" s="62"/>
      <c r="P243" s="62"/>
      <c r="Q243" s="62"/>
      <c r="R243" s="62"/>
      <c r="W243" s="60"/>
    </row>
    <row r="244" spans="1:23" s="214" customFormat="1" x14ac:dyDescent="0.25">
      <c r="A244" s="266"/>
      <c r="B244" s="266"/>
      <c r="C244" s="54"/>
      <c r="D244" s="267"/>
      <c r="E244" s="268"/>
      <c r="F244" s="55"/>
      <c r="G244" s="269"/>
      <c r="H244" s="269"/>
      <c r="I244" s="55"/>
      <c r="J244" s="269"/>
      <c r="K244" s="270"/>
      <c r="L244" s="269"/>
      <c r="M244" s="62"/>
      <c r="N244" s="62"/>
      <c r="O244" s="62"/>
      <c r="P244" s="62"/>
      <c r="Q244" s="62"/>
      <c r="R244" s="62"/>
      <c r="W244" s="60"/>
    </row>
    <row r="245" spans="1:23" s="214" customFormat="1" x14ac:dyDescent="0.25">
      <c r="A245" s="266"/>
      <c r="B245" s="266"/>
      <c r="C245" s="54"/>
      <c r="D245" s="267"/>
      <c r="E245" s="268"/>
      <c r="F245" s="55"/>
      <c r="G245" s="269"/>
      <c r="H245" s="269"/>
      <c r="I245" s="55"/>
      <c r="J245" s="269"/>
      <c r="K245" s="270"/>
      <c r="L245" s="269"/>
      <c r="M245" s="62"/>
      <c r="N245" s="62"/>
      <c r="O245" s="62"/>
      <c r="P245" s="62"/>
      <c r="Q245" s="62"/>
      <c r="R245" s="62"/>
      <c r="W245" s="60"/>
    </row>
    <row r="246" spans="1:23" s="214" customFormat="1" x14ac:dyDescent="0.25">
      <c r="A246" s="266"/>
      <c r="B246" s="266"/>
      <c r="C246" s="54"/>
      <c r="D246" s="267"/>
      <c r="E246" s="268"/>
      <c r="F246" s="55"/>
      <c r="G246" s="269"/>
      <c r="H246" s="269"/>
      <c r="I246" s="55"/>
      <c r="J246" s="269"/>
      <c r="K246" s="270"/>
      <c r="L246" s="269"/>
      <c r="M246" s="62"/>
      <c r="N246" s="62"/>
      <c r="O246" s="62"/>
      <c r="P246" s="62"/>
      <c r="Q246" s="62"/>
      <c r="R246" s="62"/>
      <c r="W246" s="60"/>
    </row>
    <row r="247" spans="1:23" s="214" customFormat="1" x14ac:dyDescent="0.25">
      <c r="A247" s="266"/>
      <c r="B247" s="266"/>
      <c r="C247" s="54"/>
      <c r="D247" s="267"/>
      <c r="E247" s="268"/>
      <c r="F247" s="55"/>
      <c r="G247" s="269"/>
      <c r="H247" s="269"/>
      <c r="I247" s="55"/>
      <c r="J247" s="269"/>
      <c r="K247" s="270"/>
      <c r="L247" s="269"/>
      <c r="M247" s="62"/>
      <c r="N247" s="62"/>
      <c r="O247" s="62"/>
      <c r="P247" s="62"/>
      <c r="Q247" s="62"/>
      <c r="R247" s="62"/>
      <c r="W247" s="60"/>
    </row>
    <row r="248" spans="1:23" s="214" customFormat="1" x14ac:dyDescent="0.25">
      <c r="A248" s="266"/>
      <c r="B248" s="266"/>
      <c r="C248" s="54"/>
      <c r="D248" s="267"/>
      <c r="E248" s="268"/>
      <c r="F248" s="55"/>
      <c r="G248" s="269"/>
      <c r="H248" s="269"/>
      <c r="I248" s="55"/>
      <c r="J248" s="269"/>
      <c r="K248" s="270"/>
      <c r="L248" s="269"/>
      <c r="M248" s="62"/>
      <c r="N248" s="62"/>
      <c r="O248" s="62"/>
      <c r="P248" s="62"/>
      <c r="Q248" s="62"/>
      <c r="R248" s="62"/>
      <c r="W248" s="60"/>
    </row>
    <row r="249" spans="1:23" s="214" customFormat="1" x14ac:dyDescent="0.25">
      <c r="A249" s="266"/>
      <c r="B249" s="266"/>
      <c r="C249" s="54"/>
      <c r="D249" s="267"/>
      <c r="E249" s="268"/>
      <c r="F249" s="55"/>
      <c r="G249" s="269"/>
      <c r="H249" s="269"/>
      <c r="I249" s="55"/>
      <c r="J249" s="269"/>
      <c r="K249" s="270"/>
      <c r="L249" s="269"/>
      <c r="M249" s="62"/>
      <c r="N249" s="62"/>
      <c r="O249" s="62"/>
      <c r="P249" s="62"/>
      <c r="Q249" s="62"/>
      <c r="R249" s="62"/>
      <c r="W249" s="60"/>
    </row>
    <row r="250" spans="1:23" s="214" customFormat="1" x14ac:dyDescent="0.25">
      <c r="A250" s="266"/>
      <c r="B250" s="266"/>
      <c r="C250" s="54"/>
      <c r="D250" s="267"/>
      <c r="E250" s="268"/>
      <c r="F250" s="55"/>
      <c r="G250" s="269"/>
      <c r="H250" s="269"/>
      <c r="I250" s="55"/>
      <c r="J250" s="269"/>
      <c r="K250" s="270"/>
      <c r="L250" s="269"/>
      <c r="M250" s="62"/>
      <c r="N250" s="62"/>
      <c r="O250" s="62"/>
      <c r="P250" s="62"/>
      <c r="Q250" s="62"/>
      <c r="R250" s="62"/>
      <c r="W250" s="60"/>
    </row>
    <row r="251" spans="1:23" s="214" customFormat="1" x14ac:dyDescent="0.25">
      <c r="A251" s="266"/>
      <c r="B251" s="266"/>
      <c r="C251" s="54"/>
      <c r="D251" s="267"/>
      <c r="E251" s="268"/>
      <c r="F251" s="55"/>
      <c r="G251" s="269"/>
      <c r="H251" s="269"/>
      <c r="I251" s="55"/>
      <c r="J251" s="269"/>
      <c r="K251" s="270"/>
      <c r="L251" s="269"/>
      <c r="M251" s="62"/>
      <c r="N251" s="62"/>
      <c r="O251" s="62"/>
      <c r="P251" s="62"/>
      <c r="Q251" s="62"/>
      <c r="R251" s="62"/>
      <c r="W251" s="60"/>
    </row>
    <row r="252" spans="1:23" s="214" customFormat="1" x14ac:dyDescent="0.25">
      <c r="A252" s="266"/>
      <c r="B252" s="266"/>
      <c r="C252" s="54"/>
      <c r="D252" s="267"/>
      <c r="E252" s="268"/>
      <c r="F252" s="55"/>
      <c r="G252" s="269"/>
      <c r="H252" s="269"/>
      <c r="I252" s="55"/>
      <c r="J252" s="269"/>
      <c r="K252" s="270"/>
      <c r="L252" s="269"/>
      <c r="M252" s="62"/>
      <c r="N252" s="62"/>
      <c r="O252" s="62"/>
      <c r="P252" s="62"/>
      <c r="Q252" s="62"/>
      <c r="R252" s="62"/>
      <c r="W252" s="60"/>
    </row>
    <row r="253" spans="1:23" s="214" customFormat="1" x14ac:dyDescent="0.25">
      <c r="A253" s="266"/>
      <c r="B253" s="266"/>
      <c r="C253" s="54"/>
      <c r="D253" s="267"/>
      <c r="E253" s="268"/>
      <c r="F253" s="55"/>
      <c r="G253" s="269"/>
      <c r="H253" s="269"/>
      <c r="I253" s="55"/>
      <c r="J253" s="269"/>
      <c r="K253" s="270"/>
      <c r="L253" s="269"/>
      <c r="M253" s="62"/>
      <c r="N253" s="62"/>
      <c r="O253" s="62"/>
      <c r="P253" s="62"/>
      <c r="Q253" s="62"/>
      <c r="R253" s="62"/>
      <c r="W253" s="60"/>
    </row>
    <row r="254" spans="1:23" s="214" customFormat="1" x14ac:dyDescent="0.25">
      <c r="A254" s="266"/>
      <c r="B254" s="266"/>
      <c r="C254" s="54"/>
      <c r="D254" s="267"/>
      <c r="E254" s="268"/>
      <c r="F254" s="55"/>
      <c r="G254" s="269"/>
      <c r="H254" s="269"/>
      <c r="I254" s="55"/>
      <c r="J254" s="269"/>
      <c r="K254" s="270"/>
      <c r="L254" s="269"/>
      <c r="M254" s="62"/>
      <c r="N254" s="62"/>
      <c r="O254" s="62"/>
      <c r="P254" s="62"/>
      <c r="Q254" s="62"/>
      <c r="R254" s="62"/>
      <c r="W254" s="60"/>
    </row>
    <row r="255" spans="1:23" s="214" customFormat="1" x14ac:dyDescent="0.25">
      <c r="A255" s="266"/>
      <c r="B255" s="266"/>
      <c r="C255" s="54"/>
      <c r="D255" s="267"/>
      <c r="E255" s="268"/>
      <c r="F255" s="55"/>
      <c r="G255" s="269"/>
      <c r="H255" s="269"/>
      <c r="I255" s="55"/>
      <c r="J255" s="269"/>
      <c r="K255" s="270"/>
      <c r="L255" s="269"/>
      <c r="M255" s="62"/>
      <c r="N255" s="62"/>
      <c r="O255" s="62"/>
      <c r="P255" s="62"/>
      <c r="Q255" s="62"/>
      <c r="R255" s="62"/>
      <c r="W255" s="60"/>
    </row>
    <row r="256" spans="1:23" s="214" customFormat="1" x14ac:dyDescent="0.25">
      <c r="A256" s="266"/>
      <c r="B256" s="266"/>
      <c r="C256" s="54"/>
      <c r="D256" s="267"/>
      <c r="E256" s="268"/>
      <c r="F256" s="55"/>
      <c r="G256" s="269"/>
      <c r="H256" s="269"/>
      <c r="I256" s="55"/>
      <c r="J256" s="269"/>
      <c r="K256" s="270"/>
      <c r="L256" s="269"/>
      <c r="M256" s="62"/>
      <c r="N256" s="62"/>
      <c r="O256" s="62"/>
      <c r="P256" s="62"/>
      <c r="Q256" s="62"/>
      <c r="R256" s="62"/>
      <c r="W256" s="60"/>
    </row>
    <row r="257" spans="1:23" s="214" customFormat="1" x14ac:dyDescent="0.25">
      <c r="A257" s="266"/>
      <c r="B257" s="266"/>
      <c r="C257" s="54"/>
      <c r="D257" s="267"/>
      <c r="E257" s="268"/>
      <c r="F257" s="55"/>
      <c r="G257" s="269"/>
      <c r="H257" s="269"/>
      <c r="I257" s="55"/>
      <c r="J257" s="269"/>
      <c r="K257" s="270"/>
      <c r="L257" s="269"/>
      <c r="M257" s="62"/>
      <c r="N257" s="62"/>
      <c r="O257" s="62"/>
      <c r="P257" s="62"/>
      <c r="Q257" s="62"/>
      <c r="R257" s="62"/>
      <c r="W257" s="60"/>
    </row>
    <row r="258" spans="1:23" s="214" customFormat="1" x14ac:dyDescent="0.25">
      <c r="A258" s="266"/>
      <c r="B258" s="266"/>
      <c r="C258" s="54"/>
      <c r="D258" s="267"/>
      <c r="E258" s="268"/>
      <c r="F258" s="55"/>
      <c r="G258" s="269"/>
      <c r="H258" s="269"/>
      <c r="I258" s="55"/>
      <c r="J258" s="269"/>
      <c r="K258" s="270"/>
      <c r="L258" s="269"/>
      <c r="M258" s="62"/>
      <c r="N258" s="62"/>
      <c r="O258" s="62"/>
      <c r="P258" s="62"/>
      <c r="Q258" s="62"/>
      <c r="R258" s="62"/>
      <c r="W258" s="60"/>
    </row>
    <row r="259" spans="1:23" s="214" customFormat="1" x14ac:dyDescent="0.25">
      <c r="A259" s="266"/>
      <c r="B259" s="266"/>
      <c r="C259" s="54"/>
      <c r="D259" s="267"/>
      <c r="E259" s="268"/>
      <c r="F259" s="55"/>
      <c r="G259" s="269"/>
      <c r="H259" s="269"/>
      <c r="I259" s="55"/>
      <c r="J259" s="269"/>
      <c r="K259" s="270"/>
      <c r="L259" s="269"/>
      <c r="M259" s="62"/>
      <c r="N259" s="62"/>
      <c r="O259" s="62"/>
      <c r="P259" s="62"/>
      <c r="Q259" s="62"/>
      <c r="R259" s="62"/>
      <c r="W259" s="60"/>
    </row>
    <row r="260" spans="1:23" s="214" customFormat="1" x14ac:dyDescent="0.25">
      <c r="A260" s="266"/>
      <c r="B260" s="266"/>
      <c r="C260" s="54"/>
      <c r="D260" s="267"/>
      <c r="E260" s="268"/>
      <c r="F260" s="55"/>
      <c r="G260" s="269"/>
      <c r="H260" s="269"/>
      <c r="I260" s="55"/>
      <c r="J260" s="269"/>
      <c r="K260" s="270"/>
      <c r="L260" s="269"/>
      <c r="M260" s="62"/>
      <c r="N260" s="62"/>
      <c r="O260" s="62"/>
      <c r="P260" s="62"/>
      <c r="Q260" s="62"/>
      <c r="R260" s="62"/>
      <c r="W260" s="60"/>
    </row>
    <row r="261" spans="1:23" s="214" customFormat="1" x14ac:dyDescent="0.25">
      <c r="A261" s="266"/>
      <c r="B261" s="266"/>
      <c r="C261" s="54"/>
      <c r="D261" s="267"/>
      <c r="E261" s="268"/>
      <c r="F261" s="55"/>
      <c r="G261" s="269"/>
      <c r="H261" s="269"/>
      <c r="I261" s="55"/>
      <c r="J261" s="269"/>
      <c r="K261" s="270"/>
      <c r="L261" s="269"/>
      <c r="M261" s="62"/>
      <c r="N261" s="62"/>
      <c r="O261" s="62"/>
      <c r="P261" s="62"/>
      <c r="Q261" s="62"/>
      <c r="R261" s="62"/>
      <c r="W261" s="60"/>
    </row>
    <row r="262" spans="1:23" s="214" customFormat="1" x14ac:dyDescent="0.25">
      <c r="A262" s="266"/>
      <c r="B262" s="266"/>
      <c r="C262" s="54"/>
      <c r="D262" s="267"/>
      <c r="E262" s="268"/>
      <c r="F262" s="55"/>
      <c r="G262" s="269"/>
      <c r="H262" s="269"/>
      <c r="I262" s="55"/>
      <c r="J262" s="269"/>
      <c r="K262" s="270"/>
      <c r="L262" s="269"/>
      <c r="M262" s="62"/>
      <c r="N262" s="62"/>
      <c r="O262" s="62"/>
      <c r="P262" s="62"/>
      <c r="Q262" s="62"/>
      <c r="R262" s="62"/>
      <c r="W262" s="60"/>
    </row>
    <row r="263" spans="1:23" s="214" customFormat="1" x14ac:dyDescent="0.25">
      <c r="A263" s="266"/>
      <c r="B263" s="266"/>
      <c r="C263" s="54"/>
      <c r="D263" s="267"/>
      <c r="E263" s="268"/>
      <c r="F263" s="55"/>
      <c r="G263" s="269"/>
      <c r="H263" s="269"/>
      <c r="I263" s="55"/>
      <c r="J263" s="269"/>
      <c r="K263" s="270"/>
      <c r="L263" s="269"/>
      <c r="M263" s="62"/>
      <c r="N263" s="62"/>
      <c r="O263" s="62"/>
      <c r="P263" s="62"/>
      <c r="Q263" s="62"/>
      <c r="R263" s="62"/>
      <c r="W263" s="60"/>
    </row>
    <row r="264" spans="1:23" s="214" customFormat="1" x14ac:dyDescent="0.25">
      <c r="A264" s="266"/>
      <c r="B264" s="266"/>
      <c r="C264" s="54"/>
      <c r="D264" s="267"/>
      <c r="E264" s="268"/>
      <c r="F264" s="55"/>
      <c r="G264" s="269"/>
      <c r="H264" s="269"/>
      <c r="I264" s="55"/>
      <c r="J264" s="269"/>
      <c r="K264" s="270"/>
      <c r="L264" s="269"/>
      <c r="M264" s="62"/>
      <c r="N264" s="62"/>
      <c r="O264" s="62"/>
      <c r="P264" s="62"/>
      <c r="Q264" s="62"/>
      <c r="R264" s="62"/>
      <c r="W264" s="60"/>
    </row>
    <row r="265" spans="1:23" s="214" customFormat="1" x14ac:dyDescent="0.25">
      <c r="A265" s="266"/>
      <c r="B265" s="266"/>
      <c r="C265" s="54"/>
      <c r="D265" s="267"/>
      <c r="E265" s="268"/>
      <c r="F265" s="55"/>
      <c r="G265" s="269"/>
      <c r="H265" s="269"/>
      <c r="I265" s="55"/>
      <c r="J265" s="269"/>
      <c r="K265" s="270"/>
      <c r="L265" s="269"/>
      <c r="M265" s="62"/>
      <c r="N265" s="62"/>
      <c r="O265" s="62"/>
      <c r="P265" s="62"/>
      <c r="Q265" s="62"/>
      <c r="R265" s="62"/>
      <c r="W265" s="60"/>
    </row>
    <row r="266" spans="1:23" s="214" customFormat="1" x14ac:dyDescent="0.25">
      <c r="A266" s="266"/>
      <c r="B266" s="266"/>
      <c r="C266" s="54"/>
      <c r="D266" s="267"/>
      <c r="E266" s="268"/>
      <c r="F266" s="55"/>
      <c r="G266" s="269"/>
      <c r="H266" s="269"/>
      <c r="I266" s="55"/>
      <c r="J266" s="269"/>
      <c r="K266" s="270"/>
      <c r="L266" s="269"/>
      <c r="M266" s="62"/>
      <c r="N266" s="62"/>
      <c r="O266" s="62"/>
      <c r="P266" s="62"/>
      <c r="Q266" s="62"/>
      <c r="R266" s="62"/>
      <c r="W266" s="60"/>
    </row>
    <row r="267" spans="1:23" s="214" customFormat="1" x14ac:dyDescent="0.25">
      <c r="A267" s="266"/>
      <c r="B267" s="266"/>
      <c r="C267" s="54"/>
      <c r="D267" s="267"/>
      <c r="E267" s="268"/>
      <c r="F267" s="55"/>
      <c r="G267" s="269"/>
      <c r="H267" s="269"/>
      <c r="I267" s="55"/>
      <c r="J267" s="269"/>
      <c r="K267" s="270"/>
      <c r="L267" s="269"/>
      <c r="M267" s="62"/>
      <c r="N267" s="62"/>
      <c r="O267" s="62"/>
      <c r="P267" s="62"/>
      <c r="Q267" s="62"/>
      <c r="R267" s="62"/>
      <c r="W267" s="60"/>
    </row>
    <row r="268" spans="1:23" s="214" customFormat="1" x14ac:dyDescent="0.25">
      <c r="A268" s="266"/>
      <c r="B268" s="266"/>
      <c r="C268" s="54"/>
      <c r="D268" s="267"/>
      <c r="E268" s="268"/>
      <c r="F268" s="55"/>
      <c r="G268" s="269"/>
      <c r="H268" s="269"/>
      <c r="I268" s="55"/>
      <c r="J268" s="269"/>
      <c r="K268" s="270"/>
      <c r="L268" s="269"/>
      <c r="M268" s="62"/>
      <c r="N268" s="62"/>
      <c r="O268" s="62"/>
      <c r="P268" s="62"/>
      <c r="Q268" s="62"/>
      <c r="R268" s="62"/>
      <c r="W268" s="60"/>
    </row>
    <row r="269" spans="1:23" s="214" customFormat="1" x14ac:dyDescent="0.25">
      <c r="A269" s="266"/>
      <c r="B269" s="266"/>
      <c r="C269" s="54"/>
      <c r="D269" s="267"/>
      <c r="E269" s="268"/>
      <c r="F269" s="55"/>
      <c r="G269" s="269"/>
      <c r="H269" s="269"/>
      <c r="I269" s="55"/>
      <c r="J269" s="269"/>
      <c r="K269" s="270"/>
      <c r="L269" s="269"/>
      <c r="M269" s="62"/>
      <c r="N269" s="62"/>
      <c r="O269" s="62"/>
      <c r="P269" s="62"/>
      <c r="Q269" s="62"/>
      <c r="R269" s="62"/>
      <c r="W269" s="60"/>
    </row>
    <row r="270" spans="1:23" s="214" customFormat="1" x14ac:dyDescent="0.25">
      <c r="A270" s="266"/>
      <c r="B270" s="266"/>
      <c r="C270" s="54"/>
      <c r="D270" s="267"/>
      <c r="E270" s="268"/>
      <c r="F270" s="55"/>
      <c r="G270" s="269"/>
      <c r="H270" s="269"/>
      <c r="I270" s="55"/>
      <c r="J270" s="269"/>
      <c r="K270" s="270"/>
      <c r="L270" s="269"/>
      <c r="M270" s="62"/>
      <c r="N270" s="62"/>
      <c r="O270" s="62"/>
      <c r="P270" s="62"/>
      <c r="Q270" s="62"/>
      <c r="R270" s="62"/>
      <c r="W270" s="60"/>
    </row>
    <row r="271" spans="1:23" s="214" customFormat="1" x14ac:dyDescent="0.25">
      <c r="A271" s="266"/>
      <c r="B271" s="266"/>
      <c r="C271" s="54"/>
      <c r="D271" s="267"/>
      <c r="E271" s="268"/>
      <c r="F271" s="55"/>
      <c r="G271" s="269"/>
      <c r="H271" s="269"/>
      <c r="I271" s="55"/>
      <c r="J271" s="269"/>
      <c r="K271" s="270"/>
      <c r="L271" s="269"/>
      <c r="M271" s="62"/>
      <c r="N271" s="62"/>
      <c r="O271" s="62"/>
      <c r="P271" s="62"/>
      <c r="Q271" s="62"/>
      <c r="R271" s="62"/>
      <c r="W271" s="60"/>
    </row>
    <row r="272" spans="1:23" s="214" customFormat="1" x14ac:dyDescent="0.25">
      <c r="A272" s="266"/>
      <c r="B272" s="266"/>
      <c r="C272" s="54"/>
      <c r="D272" s="267"/>
      <c r="E272" s="268"/>
      <c r="F272" s="55"/>
      <c r="G272" s="269"/>
      <c r="H272" s="269"/>
      <c r="I272" s="55"/>
      <c r="J272" s="269"/>
      <c r="K272" s="270"/>
      <c r="L272" s="269"/>
      <c r="M272" s="62"/>
      <c r="N272" s="62"/>
      <c r="O272" s="62"/>
      <c r="P272" s="62"/>
      <c r="Q272" s="62"/>
      <c r="R272" s="62"/>
      <c r="W272" s="60"/>
    </row>
    <row r="273" spans="1:23" s="214" customFormat="1" x14ac:dyDescent="0.25">
      <c r="A273" s="266"/>
      <c r="B273" s="266"/>
      <c r="C273" s="54"/>
      <c r="D273" s="267"/>
      <c r="E273" s="268"/>
      <c r="F273" s="55"/>
      <c r="G273" s="269"/>
      <c r="H273" s="269"/>
      <c r="I273" s="55"/>
      <c r="J273" s="269"/>
      <c r="K273" s="270"/>
      <c r="L273" s="269"/>
      <c r="M273" s="62"/>
      <c r="N273" s="62"/>
      <c r="O273" s="62"/>
      <c r="P273" s="62"/>
      <c r="Q273" s="62"/>
      <c r="R273" s="62"/>
      <c r="W273" s="60"/>
    </row>
    <row r="274" spans="1:23" s="214" customFormat="1" x14ac:dyDescent="0.25">
      <c r="A274" s="266"/>
      <c r="B274" s="266"/>
      <c r="C274" s="54"/>
      <c r="D274" s="267"/>
      <c r="E274" s="268"/>
      <c r="F274" s="55"/>
      <c r="G274" s="269"/>
      <c r="H274" s="269"/>
      <c r="I274" s="55"/>
      <c r="J274" s="269"/>
      <c r="K274" s="270"/>
      <c r="L274" s="269"/>
      <c r="M274" s="62"/>
      <c r="N274" s="62"/>
      <c r="O274" s="62"/>
      <c r="P274" s="62"/>
      <c r="Q274" s="62"/>
      <c r="R274" s="62"/>
      <c r="W274" s="60"/>
    </row>
    <row r="275" spans="1:23" s="214" customFormat="1" x14ac:dyDescent="0.25">
      <c r="A275" s="266"/>
      <c r="B275" s="266"/>
      <c r="C275" s="54"/>
      <c r="D275" s="267"/>
      <c r="E275" s="268"/>
      <c r="F275" s="55"/>
      <c r="G275" s="269"/>
      <c r="H275" s="269"/>
      <c r="I275" s="55"/>
      <c r="J275" s="269"/>
      <c r="K275" s="270"/>
      <c r="L275" s="269"/>
      <c r="M275" s="62"/>
      <c r="N275" s="62"/>
      <c r="O275" s="62"/>
      <c r="P275" s="62"/>
      <c r="Q275" s="62"/>
      <c r="R275" s="62"/>
      <c r="W275" s="60"/>
    </row>
    <row r="276" spans="1:23" s="214" customFormat="1" x14ac:dyDescent="0.25">
      <c r="A276" s="266"/>
      <c r="B276" s="266"/>
      <c r="C276" s="54"/>
      <c r="D276" s="267"/>
      <c r="E276" s="268"/>
      <c r="F276" s="55"/>
      <c r="G276" s="269"/>
      <c r="H276" s="269"/>
      <c r="I276" s="55"/>
      <c r="J276" s="269"/>
      <c r="K276" s="270"/>
      <c r="L276" s="269"/>
      <c r="M276" s="62"/>
      <c r="N276" s="62"/>
      <c r="O276" s="62"/>
      <c r="P276" s="62"/>
      <c r="Q276" s="62"/>
      <c r="R276" s="62"/>
      <c r="W276" s="60"/>
    </row>
    <row r="277" spans="1:23" s="214" customFormat="1" x14ac:dyDescent="0.25">
      <c r="A277" s="266"/>
      <c r="B277" s="266"/>
      <c r="C277" s="54"/>
      <c r="D277" s="267"/>
      <c r="E277" s="268"/>
      <c r="F277" s="55"/>
      <c r="G277" s="269"/>
      <c r="H277" s="269"/>
      <c r="I277" s="55"/>
      <c r="J277" s="269"/>
      <c r="K277" s="270"/>
      <c r="L277" s="269"/>
      <c r="M277" s="62"/>
      <c r="N277" s="62"/>
      <c r="O277" s="62"/>
      <c r="P277" s="62"/>
      <c r="Q277" s="62"/>
      <c r="R277" s="62"/>
      <c r="W277" s="60"/>
    </row>
    <row r="278" spans="1:23" s="214" customFormat="1" x14ac:dyDescent="0.25">
      <c r="A278" s="266"/>
      <c r="B278" s="266"/>
      <c r="C278" s="54"/>
      <c r="D278" s="267"/>
      <c r="E278" s="268"/>
      <c r="F278" s="55"/>
      <c r="G278" s="269"/>
      <c r="H278" s="269"/>
      <c r="I278" s="55"/>
      <c r="J278" s="269"/>
      <c r="K278" s="270"/>
      <c r="L278" s="269"/>
      <c r="M278" s="62"/>
      <c r="N278" s="62"/>
      <c r="O278" s="62"/>
      <c r="P278" s="62"/>
      <c r="Q278" s="62"/>
      <c r="R278" s="62"/>
      <c r="W278" s="60"/>
    </row>
    <row r="279" spans="1:23" s="214" customFormat="1" x14ac:dyDescent="0.25">
      <c r="A279" s="266"/>
      <c r="B279" s="266"/>
      <c r="C279" s="54"/>
      <c r="D279" s="267"/>
      <c r="E279" s="268"/>
      <c r="F279" s="55"/>
      <c r="G279" s="269"/>
      <c r="H279" s="269"/>
      <c r="I279" s="55"/>
      <c r="J279" s="269"/>
      <c r="K279" s="270"/>
      <c r="L279" s="269"/>
      <c r="M279" s="62"/>
      <c r="N279" s="62"/>
      <c r="O279" s="62"/>
      <c r="P279" s="62"/>
      <c r="Q279" s="62"/>
      <c r="R279" s="62"/>
      <c r="W279" s="60"/>
    </row>
    <row r="280" spans="1:23" s="214" customFormat="1" x14ac:dyDescent="0.25">
      <c r="A280" s="266"/>
      <c r="B280" s="266"/>
      <c r="C280" s="54"/>
      <c r="D280" s="267"/>
      <c r="E280" s="268"/>
      <c r="F280" s="55"/>
      <c r="G280" s="269"/>
      <c r="H280" s="269"/>
      <c r="I280" s="55"/>
      <c r="J280" s="269"/>
      <c r="K280" s="270"/>
      <c r="L280" s="269"/>
      <c r="M280" s="62"/>
      <c r="N280" s="62"/>
      <c r="O280" s="62"/>
      <c r="P280" s="62"/>
      <c r="Q280" s="62"/>
      <c r="R280" s="62"/>
      <c r="W280" s="60"/>
    </row>
    <row r="281" spans="1:23" s="214" customFormat="1" x14ac:dyDescent="0.25">
      <c r="A281" s="266"/>
      <c r="B281" s="266"/>
      <c r="C281" s="54"/>
      <c r="D281" s="267"/>
      <c r="E281" s="268"/>
      <c r="F281" s="55"/>
      <c r="G281" s="269"/>
      <c r="H281" s="269"/>
      <c r="I281" s="55"/>
      <c r="J281" s="269"/>
      <c r="K281" s="270"/>
      <c r="L281" s="269"/>
      <c r="M281" s="62"/>
      <c r="N281" s="62"/>
      <c r="O281" s="62"/>
      <c r="P281" s="62"/>
      <c r="Q281" s="62"/>
      <c r="R281" s="62"/>
      <c r="W281" s="60"/>
    </row>
    <row r="282" spans="1:23" s="214" customFormat="1" x14ac:dyDescent="0.25">
      <c r="A282" s="266"/>
      <c r="B282" s="266"/>
      <c r="C282" s="54"/>
      <c r="D282" s="267"/>
      <c r="E282" s="268"/>
      <c r="F282" s="55"/>
      <c r="G282" s="269"/>
      <c r="H282" s="269"/>
      <c r="I282" s="55"/>
      <c r="J282" s="269"/>
      <c r="K282" s="270"/>
      <c r="L282" s="269"/>
      <c r="M282" s="62"/>
      <c r="N282" s="62"/>
      <c r="O282" s="62"/>
      <c r="P282" s="62"/>
      <c r="Q282" s="62"/>
      <c r="R282" s="62"/>
      <c r="W282" s="60"/>
    </row>
    <row r="283" spans="1:23" s="214" customFormat="1" x14ac:dyDescent="0.25">
      <c r="A283" s="266"/>
      <c r="B283" s="266"/>
      <c r="C283" s="54"/>
      <c r="D283" s="267"/>
      <c r="E283" s="268"/>
      <c r="F283" s="55"/>
      <c r="G283" s="269"/>
      <c r="H283" s="269"/>
      <c r="I283" s="55"/>
      <c r="J283" s="269"/>
      <c r="K283" s="270"/>
      <c r="L283" s="269"/>
      <c r="M283" s="62"/>
      <c r="N283" s="62"/>
      <c r="O283" s="62"/>
      <c r="P283" s="62"/>
      <c r="Q283" s="62"/>
      <c r="R283" s="62"/>
      <c r="W283" s="60"/>
    </row>
    <row r="284" spans="1:23" s="214" customFormat="1" x14ac:dyDescent="0.25">
      <c r="A284" s="266"/>
      <c r="B284" s="266"/>
      <c r="C284" s="54"/>
      <c r="D284" s="267"/>
      <c r="E284" s="268"/>
      <c r="F284" s="55"/>
      <c r="G284" s="269"/>
      <c r="H284" s="269"/>
      <c r="I284" s="55"/>
      <c r="J284" s="269"/>
      <c r="K284" s="270"/>
      <c r="L284" s="269"/>
      <c r="M284" s="62"/>
      <c r="N284" s="62"/>
      <c r="O284" s="62"/>
      <c r="P284" s="62"/>
      <c r="Q284" s="62"/>
      <c r="R284" s="62"/>
      <c r="W284" s="60"/>
    </row>
    <row r="285" spans="1:23" s="214" customFormat="1" x14ac:dyDescent="0.25">
      <c r="A285" s="266"/>
      <c r="B285" s="266"/>
      <c r="C285" s="54"/>
      <c r="D285" s="267"/>
      <c r="E285" s="268"/>
      <c r="F285" s="55"/>
      <c r="G285" s="269"/>
      <c r="H285" s="269"/>
      <c r="I285" s="55"/>
      <c r="J285" s="269"/>
      <c r="K285" s="270"/>
      <c r="L285" s="269"/>
      <c r="M285" s="62"/>
      <c r="N285" s="62"/>
      <c r="O285" s="62"/>
      <c r="P285" s="62"/>
      <c r="Q285" s="62"/>
      <c r="R285" s="62"/>
      <c r="W285" s="60"/>
    </row>
  </sheetData>
  <sheetProtection algorithmName="SHA-512" hashValue="IPZ3tKf40tVn+5IA3eNB8tH5qQcGARQ2ueO8M8UrJ1Hdbr4Lz1QBXPV54tzZVEWfDiRyVaJ6td9TXfZWZ48rQw==" saltValue="2VPjKuVnhgyO+lMH8F/2UQ==" spinCount="100000" sheet="1" formatCells="0" formatColumns="0" formatRows="0"/>
  <mergeCells count="84">
    <mergeCell ref="M16:T16"/>
    <mergeCell ref="M17:T17"/>
    <mergeCell ref="M24:T24"/>
    <mergeCell ref="M55:T55"/>
    <mergeCell ref="M79:T79"/>
    <mergeCell ref="M33:T33"/>
    <mergeCell ref="M39:T39"/>
    <mergeCell ref="M18:T18"/>
    <mergeCell ref="M25:T25"/>
    <mergeCell ref="M26:T26"/>
    <mergeCell ref="M31:T31"/>
    <mergeCell ref="M32:T32"/>
    <mergeCell ref="M40:T40"/>
    <mergeCell ref="M41:T41"/>
    <mergeCell ref="M42:T42"/>
    <mergeCell ref="M43:T43"/>
    <mergeCell ref="U1:U2"/>
    <mergeCell ref="M13:T13"/>
    <mergeCell ref="M14:T14"/>
    <mergeCell ref="M15:T15"/>
    <mergeCell ref="M1:T1"/>
    <mergeCell ref="M3:T3"/>
    <mergeCell ref="M5:T5"/>
    <mergeCell ref="M7:T7"/>
    <mergeCell ref="M44:T44"/>
    <mergeCell ref="M49:T49"/>
    <mergeCell ref="M50:T50"/>
    <mergeCell ref="M51:T51"/>
    <mergeCell ref="M52:T52"/>
    <mergeCell ref="M53:T53"/>
    <mergeCell ref="M54:T54"/>
    <mergeCell ref="M56:T56"/>
    <mergeCell ref="M61:T61"/>
    <mergeCell ref="M62:T62"/>
    <mergeCell ref="M63:T63"/>
    <mergeCell ref="M64:T64"/>
    <mergeCell ref="M65:T65"/>
    <mergeCell ref="M66:T66"/>
    <mergeCell ref="M67:T67"/>
    <mergeCell ref="M68:T68"/>
    <mergeCell ref="M69:T69"/>
    <mergeCell ref="M74:T74"/>
    <mergeCell ref="M75:T75"/>
    <mergeCell ref="M76:T76"/>
    <mergeCell ref="M77:T77"/>
    <mergeCell ref="M78:T78"/>
    <mergeCell ref="M80:T80"/>
    <mergeCell ref="M87:T87"/>
    <mergeCell ref="M88:T88"/>
    <mergeCell ref="M89:T89"/>
    <mergeCell ref="M82:T82"/>
    <mergeCell ref="M90:T90"/>
    <mergeCell ref="M91:T91"/>
    <mergeCell ref="M92:T92"/>
    <mergeCell ref="M93:T93"/>
    <mergeCell ref="M94:T94"/>
    <mergeCell ref="M95:T95"/>
    <mergeCell ref="M96:T96"/>
    <mergeCell ref="M97:T97"/>
    <mergeCell ref="M98:T98"/>
    <mergeCell ref="M99:T99"/>
    <mergeCell ref="M112:T112"/>
    <mergeCell ref="M113:T113"/>
    <mergeCell ref="M100:T100"/>
    <mergeCell ref="M101:T101"/>
    <mergeCell ref="M106:T106"/>
    <mergeCell ref="M107:T107"/>
    <mergeCell ref="M108:T108"/>
    <mergeCell ref="W1:W2"/>
    <mergeCell ref="M133:T133"/>
    <mergeCell ref="M134:T134"/>
    <mergeCell ref="M124:T124"/>
    <mergeCell ref="M125:T125"/>
    <mergeCell ref="M130:T130"/>
    <mergeCell ref="M131:T131"/>
    <mergeCell ref="M132:T132"/>
    <mergeCell ref="M119:T119"/>
    <mergeCell ref="M120:T120"/>
    <mergeCell ref="M121:T121"/>
    <mergeCell ref="M122:T122"/>
    <mergeCell ref="M123:T123"/>
    <mergeCell ref="M109:T109"/>
    <mergeCell ref="M110:T110"/>
    <mergeCell ref="M111:T111"/>
  </mergeCells>
  <conditionalFormatting sqref="E3">
    <cfRule type="dataBar" priority="274">
      <dataBar>
        <cfvo type="num" val="0.1"/>
        <cfvo type="num" val="1"/>
        <color theme="9" tint="0.39997558519241921"/>
      </dataBar>
      <extLst>
        <ext xmlns:x14="http://schemas.microsoft.com/office/spreadsheetml/2009/9/main" uri="{B025F937-C7B1-47D3-B67F-A62EFF666E3E}">
          <x14:id>{5B3F4764-4285-436F-9863-BFFB47CBA78B}</x14:id>
        </ext>
      </extLst>
    </cfRule>
  </conditionalFormatting>
  <conditionalFormatting sqref="E8">
    <cfRule type="dataBar" priority="276">
      <dataBar>
        <cfvo type="num" val="0.1"/>
        <cfvo type="num" val="1"/>
        <color theme="9" tint="0.39997558519241921"/>
      </dataBar>
      <extLst>
        <ext xmlns:x14="http://schemas.microsoft.com/office/spreadsheetml/2009/9/main" uri="{B025F937-C7B1-47D3-B67F-A62EFF666E3E}">
          <x14:id>{915DEDF1-396A-4BA0-97FE-30033DF27475}</x14:id>
        </ext>
      </extLst>
    </cfRule>
  </conditionalFormatting>
  <conditionalFormatting sqref="E11">
    <cfRule type="expression" dxfId="605" priority="218">
      <formula>AND(B11&lt;&gt;1,ISNUMBER(C11),OR(ISNUMBER(D11),D11="PG"))</formula>
    </cfRule>
  </conditionalFormatting>
  <conditionalFormatting sqref="E13">
    <cfRule type="expression" dxfId="604" priority="216">
      <formula>AND(B13&lt;&gt;1,ISNUMBER(C13),ISNUMBER(D13))</formula>
    </cfRule>
  </conditionalFormatting>
  <conditionalFormatting sqref="E15:E18">
    <cfRule type="expression" dxfId="603" priority="217">
      <formula>AND(B15&lt;&gt;1,ISNUMBER(C15),ISNUMBER(D15))</formula>
    </cfRule>
  </conditionalFormatting>
  <conditionalFormatting sqref="E22">
    <cfRule type="expression" dxfId="602" priority="215">
      <formula>AND(B22&lt;&gt;1,ISNUMBER(C22),OR(ISNUMBER(D22),D22="PG"))</formula>
    </cfRule>
  </conditionalFormatting>
  <conditionalFormatting sqref="E24">
    <cfRule type="expression" dxfId="601" priority="213">
      <formula>AND(B24&lt;&gt;1,ISNUMBER(C24),ISNUMBER(D24))</formula>
    </cfRule>
  </conditionalFormatting>
  <conditionalFormatting sqref="E26">
    <cfRule type="expression" dxfId="600" priority="214">
      <formula>AND(B26&lt;&gt;1,ISNUMBER(C26),ISNUMBER(D26))</formula>
    </cfRule>
  </conditionalFormatting>
  <conditionalFormatting sqref="E30">
    <cfRule type="expression" dxfId="599" priority="212">
      <formula>AND(B30&lt;&gt;1,ISNUMBER(C30),OR(ISNUMBER(D30),D30="PG"))</formula>
    </cfRule>
  </conditionalFormatting>
  <conditionalFormatting sqref="E31:E33">
    <cfRule type="expression" dxfId="598" priority="211">
      <formula>AND(B31&lt;&gt;1,ISNUMBER(C31),ISNUMBER(D31))</formula>
    </cfRule>
  </conditionalFormatting>
  <conditionalFormatting sqref="E37">
    <cfRule type="expression" dxfId="597" priority="210">
      <formula>AND(B37&lt;&gt;1,ISNUMBER(C37),OR(ISNUMBER(D37),D37="PG"))</formula>
    </cfRule>
  </conditionalFormatting>
  <conditionalFormatting sqref="E39:E44">
    <cfRule type="expression" dxfId="596" priority="209">
      <formula>AND(B39&lt;&gt;1,ISNUMBER(C39),ISNUMBER(D39))</formula>
    </cfRule>
  </conditionalFormatting>
  <conditionalFormatting sqref="E48">
    <cfRule type="expression" dxfId="595" priority="208">
      <formula>AND(B48&lt;&gt;1,ISNUMBER(C48),OR(ISNUMBER(D48),D48="PG"))</formula>
    </cfRule>
  </conditionalFormatting>
  <conditionalFormatting sqref="E49:E56">
    <cfRule type="expression" dxfId="594" priority="207">
      <formula>AND(B49&lt;&gt;1,ISNUMBER(C49),ISNUMBER(D49))</formula>
    </cfRule>
  </conditionalFormatting>
  <conditionalFormatting sqref="E60">
    <cfRule type="expression" dxfId="593" priority="206">
      <formula>AND(B60&lt;&gt;1,ISNUMBER(C60),OR(ISNUMBER(D60),D60="PG"))</formula>
    </cfRule>
  </conditionalFormatting>
  <conditionalFormatting sqref="E61:E69">
    <cfRule type="expression" dxfId="592" priority="205">
      <formula>AND(B61&lt;&gt;1,ISNUMBER(C61),ISNUMBER(D61))</formula>
    </cfRule>
  </conditionalFormatting>
  <conditionalFormatting sqref="E73">
    <cfRule type="expression" dxfId="591" priority="204">
      <formula>AND(B73&lt;&gt;1,ISNUMBER(C73),OR(ISNUMBER(D73),D73="PG"))</formula>
    </cfRule>
  </conditionalFormatting>
  <conditionalFormatting sqref="E74:E80">
    <cfRule type="expression" dxfId="590" priority="203">
      <formula>AND(B74&lt;&gt;1,ISNUMBER(C74),ISNUMBER(D74))</formula>
    </cfRule>
  </conditionalFormatting>
  <conditionalFormatting sqref="E83">
    <cfRule type="dataBar" priority="275">
      <dataBar>
        <cfvo type="num" val="0.1"/>
        <cfvo type="num" val="1"/>
        <color theme="9" tint="0.39997558519241921"/>
      </dataBar>
      <extLst>
        <ext xmlns:x14="http://schemas.microsoft.com/office/spreadsheetml/2009/9/main" uri="{B025F937-C7B1-47D3-B67F-A62EFF666E3E}">
          <x14:id>{039F0728-C502-4A42-A4C5-109BD6737F54}</x14:id>
        </ext>
      </extLst>
    </cfRule>
  </conditionalFormatting>
  <conditionalFormatting sqref="E86">
    <cfRule type="expression" dxfId="589" priority="202">
      <formula>AND(B86&lt;&gt;1,ISNUMBER(C86),OR(ISNUMBER(D86),D86="PG"))</formula>
    </cfRule>
  </conditionalFormatting>
  <conditionalFormatting sqref="E87:E101">
    <cfRule type="expression" dxfId="588" priority="201">
      <formula>AND(B87&lt;&gt;1,ISNUMBER(C87),ISNUMBER(D87))</formula>
    </cfRule>
  </conditionalFormatting>
  <conditionalFormatting sqref="E105">
    <cfRule type="expression" dxfId="587" priority="200">
      <formula>AND(B105&lt;&gt;1,ISNUMBER(C105),OR(ISNUMBER(D105),D105="PG"))</formula>
    </cfRule>
  </conditionalFormatting>
  <conditionalFormatting sqref="E106:E113">
    <cfRule type="expression" dxfId="586" priority="199">
      <formula>AND(B106&lt;&gt;1,ISNUMBER(C106),ISNUMBER(D106))</formula>
    </cfRule>
  </conditionalFormatting>
  <conditionalFormatting sqref="E117">
    <cfRule type="expression" dxfId="585" priority="198">
      <formula>AND(B117&lt;&gt;1,ISNUMBER(C117),OR(ISNUMBER(D117),D117="PG"))</formula>
    </cfRule>
  </conditionalFormatting>
  <conditionalFormatting sqref="E119:E125">
    <cfRule type="expression" dxfId="584" priority="197">
      <formula>AND(B119&lt;&gt;1,ISNUMBER(C119),ISNUMBER(D119))</formula>
    </cfRule>
  </conditionalFormatting>
  <conditionalFormatting sqref="E129">
    <cfRule type="expression" dxfId="583" priority="194">
      <formula>AND(B129&lt;&gt;1,ISNUMBER(C129),OR(ISNUMBER(D129),D129="PG"))</formula>
    </cfRule>
  </conditionalFormatting>
  <conditionalFormatting sqref="E130:E134">
    <cfRule type="expression" dxfId="582" priority="193">
      <formula>AND(B130&lt;&gt;1,ISNUMBER(C130),ISNUMBER(D130))</formula>
    </cfRule>
  </conditionalFormatting>
  <conditionalFormatting sqref="F11">
    <cfRule type="expression" dxfId="581" priority="173">
      <formula>OR(AND($B11=1,LEN(F11)&gt;1,F11&lt;&gt;"NA"),AND($B11=0,ISNUMBER($C11)))</formula>
    </cfRule>
  </conditionalFormatting>
  <conditionalFormatting sqref="F13:F18">
    <cfRule type="expression" dxfId="580" priority="85">
      <formula>OR(AND($B13=1,LEN(F13)&gt;1,F13&lt;&gt;"NA"),AND($B13=0,ISNUMBER($C13)))</formula>
    </cfRule>
  </conditionalFormatting>
  <conditionalFormatting sqref="F22">
    <cfRule type="expression" dxfId="579" priority="165">
      <formula>OR(AND($B22=1,LEN(F22)&gt;1,F22&lt;&gt;"NA"),AND($B22=0,ISNUMBER($C22)))</formula>
    </cfRule>
  </conditionalFormatting>
  <conditionalFormatting sqref="F24:F26">
    <cfRule type="expression" dxfId="578" priority="77">
      <formula>OR(AND($B24=1,LEN(F24)&gt;1,F24&lt;&gt;"NA"),AND($B24=0,ISNUMBER($C24)))</formula>
    </cfRule>
  </conditionalFormatting>
  <conditionalFormatting sqref="F30:F33">
    <cfRule type="expression" dxfId="577" priority="69">
      <formula>OR(AND($B30=1,LEN(F30)&gt;1,F30&lt;&gt;"NA"),AND($B30=0,ISNUMBER($C30)))</formula>
    </cfRule>
  </conditionalFormatting>
  <conditionalFormatting sqref="F37">
    <cfRule type="expression" dxfId="576" priority="149">
      <formula>OR(AND($B37=1,LEN(F37)&gt;1,F37&lt;&gt;"NA"),AND($B37=0,ISNUMBER($C37)))</formula>
    </cfRule>
  </conditionalFormatting>
  <conditionalFormatting sqref="F39:F44">
    <cfRule type="expression" dxfId="575" priority="61">
      <formula>OR(AND($B39=1,LEN(F39)&gt;1,F39&lt;&gt;"NA"),AND($B39=0,ISNUMBER($C39)))</formula>
    </cfRule>
  </conditionalFormatting>
  <conditionalFormatting sqref="F48:F56">
    <cfRule type="expression" dxfId="574" priority="53">
      <formula>OR(AND($B48=1,LEN(F48)&gt;1,F48&lt;&gt;"NA"),AND($B48=0,ISNUMBER($C48)))</formula>
    </cfRule>
  </conditionalFormatting>
  <conditionalFormatting sqref="F60:F69">
    <cfRule type="expression" dxfId="573" priority="45">
      <formula>OR(AND($B60=1,LEN(F60)&gt;1,F60&lt;&gt;"NA"),AND($B60=0,ISNUMBER($C60)))</formula>
    </cfRule>
  </conditionalFormatting>
  <conditionalFormatting sqref="F73:F80">
    <cfRule type="expression" dxfId="572" priority="37">
      <formula>OR(AND($B73=1,LEN(F73)&gt;1,F73&lt;&gt;"NA"),AND($B73=0,ISNUMBER($C73)))</formula>
    </cfRule>
  </conditionalFormatting>
  <conditionalFormatting sqref="F86:F101">
    <cfRule type="expression" dxfId="571" priority="29">
      <formula>OR(AND($B86=1,LEN(F86)&gt;1,F86&lt;&gt;"NA"),AND($B86=0,ISNUMBER($C86)))</formula>
    </cfRule>
  </conditionalFormatting>
  <conditionalFormatting sqref="F105:F113">
    <cfRule type="expression" dxfId="570" priority="21">
      <formula>OR(AND($B105=1,LEN(F105)&gt;1,F105&lt;&gt;"NA"),AND($B105=0,ISNUMBER($C105)))</formula>
    </cfRule>
  </conditionalFormatting>
  <conditionalFormatting sqref="F117">
    <cfRule type="expression" dxfId="569" priority="101">
      <formula>OR(AND($B117=1,LEN(F117)&gt;1,F117&lt;&gt;"NA"),AND($B117=0,ISNUMBER($C117)))</formula>
    </cfRule>
  </conditionalFormatting>
  <conditionalFormatting sqref="F119:F125">
    <cfRule type="expression" dxfId="568" priority="13">
      <formula>OR(AND($B119=1,LEN(F119)&gt;1,F119&lt;&gt;"NA"),AND($B119=0,ISNUMBER($C119)))</formula>
    </cfRule>
  </conditionalFormatting>
  <conditionalFormatting sqref="F129:F134">
    <cfRule type="expression" dxfId="567" priority="5">
      <formula>OR(AND($B129=1,LEN(F129)&gt;1,F129&lt;&gt;"NA"),AND($B129=0,ISNUMBER($C129)))</formula>
    </cfRule>
  </conditionalFormatting>
  <conditionalFormatting sqref="G11">
    <cfRule type="expression" dxfId="566" priority="171" stopIfTrue="1">
      <formula>AND(B11=1,F11="NA", ISBLANK(G11))</formula>
    </cfRule>
    <cfRule type="expression" dxfId="565" priority="172" stopIfTrue="1">
      <formula>AND(B11=1,OR(F11="S",F11="N",ISBLANK(F11)), ISBLANK(G11))</formula>
    </cfRule>
    <cfRule type="expression" dxfId="564" priority="177">
      <formula>AND(B11=1,OR(F11="S",F11="N"), NOT(ISBLANK(G11)))</formula>
    </cfRule>
  </conditionalFormatting>
  <conditionalFormatting sqref="G12">
    <cfRule type="expression" dxfId="563" priority="309">
      <formula>AND(B12=1,F12="S", NOT(ISBLANK(G12)))</formula>
    </cfRule>
  </conditionalFormatting>
  <conditionalFormatting sqref="G13:G18">
    <cfRule type="expression" dxfId="562" priority="83" stopIfTrue="1">
      <formula>AND(B13=1,F13="NA", ISBLANK(G13))</formula>
    </cfRule>
    <cfRule type="expression" dxfId="561" priority="89">
      <formula>AND(B13=1,OR(F13="S",F13="N"), NOT(ISBLANK(G13)))</formula>
    </cfRule>
    <cfRule type="expression" dxfId="560" priority="84" stopIfTrue="1">
      <formula>AND(B13=1,OR(F13="S",F13="N",ISBLANK(F13)), ISBLANK(G13))</formula>
    </cfRule>
  </conditionalFormatting>
  <conditionalFormatting sqref="G22">
    <cfRule type="expression" dxfId="559" priority="163" stopIfTrue="1">
      <formula>AND(B22=1,F22="NA", ISBLANK(G22))</formula>
    </cfRule>
    <cfRule type="expression" dxfId="558" priority="164" stopIfTrue="1">
      <formula>AND(B22=1,OR(F22="S",F22="N",ISBLANK(F22)), ISBLANK(G22))</formula>
    </cfRule>
    <cfRule type="expression" dxfId="557" priority="169">
      <formula>AND(B22=1,OR(F22="S",F22="N"), NOT(ISBLANK(G22)))</formula>
    </cfRule>
  </conditionalFormatting>
  <conditionalFormatting sqref="G23">
    <cfRule type="expression" dxfId="556" priority="288">
      <formula>AND(B23=1,F23="S", NOT(ISBLANK(G23)))</formula>
    </cfRule>
  </conditionalFormatting>
  <conditionalFormatting sqref="G24:G26">
    <cfRule type="expression" dxfId="555" priority="75" stopIfTrue="1">
      <formula>AND(B24=1,F24="NA", ISBLANK(G24))</formula>
    </cfRule>
    <cfRule type="expression" dxfId="554" priority="76" stopIfTrue="1">
      <formula>AND(B24=1,OR(F24="S",F24="N",ISBLANK(F24)), ISBLANK(G24))</formula>
    </cfRule>
    <cfRule type="expression" dxfId="553" priority="81">
      <formula>AND(B24=1,OR(F24="S",F24="N"), NOT(ISBLANK(G24)))</formula>
    </cfRule>
  </conditionalFormatting>
  <conditionalFormatting sqref="G30:G33">
    <cfRule type="expression" dxfId="552" priority="73">
      <formula>AND(B30=1,OR(F30="S",F30="N"), NOT(ISBLANK(G30)))</formula>
    </cfRule>
    <cfRule type="expression" dxfId="551" priority="67" stopIfTrue="1">
      <formula>AND(B30=1,F30="NA", ISBLANK(G30))</formula>
    </cfRule>
    <cfRule type="expression" dxfId="550" priority="68" stopIfTrue="1">
      <formula>AND(B30=1,OR(F30="S",F30="N",ISBLANK(F30)), ISBLANK(G30))</formula>
    </cfRule>
  </conditionalFormatting>
  <conditionalFormatting sqref="G37">
    <cfRule type="expression" dxfId="549" priority="148" stopIfTrue="1">
      <formula>AND(B37=1,OR(F37="S",F37="N",ISBLANK(F37)), ISBLANK(G37))</formula>
    </cfRule>
    <cfRule type="expression" dxfId="548" priority="147" stopIfTrue="1">
      <formula>AND(B37=1,F37="NA", ISBLANK(G37))</formula>
    </cfRule>
    <cfRule type="expression" dxfId="547" priority="153">
      <formula>AND(B37=1,OR(F37="S",F37="N"), NOT(ISBLANK(G37)))</formula>
    </cfRule>
  </conditionalFormatting>
  <conditionalFormatting sqref="G38">
    <cfRule type="expression" dxfId="546" priority="286">
      <formula>AND(B38=1,F38="S", NOT(ISBLANK(G38)))</formula>
    </cfRule>
  </conditionalFormatting>
  <conditionalFormatting sqref="G39:G44">
    <cfRule type="expression" dxfId="545" priority="59" stopIfTrue="1">
      <formula>AND(B39=1,F39="NA", ISBLANK(G39))</formula>
    </cfRule>
    <cfRule type="expression" dxfId="544" priority="60" stopIfTrue="1">
      <formula>AND(B39=1,OR(F39="S",F39="N",ISBLANK(F39)), ISBLANK(G39))</formula>
    </cfRule>
    <cfRule type="expression" dxfId="543" priority="65">
      <formula>AND(B39=1,OR(F39="S",F39="N"), NOT(ISBLANK(G39)))</formula>
    </cfRule>
  </conditionalFormatting>
  <conditionalFormatting sqref="G48:G56">
    <cfRule type="expression" dxfId="542" priority="52" stopIfTrue="1">
      <formula>AND(B48=1,OR(F48="S",F48="N",ISBLANK(F48)), ISBLANK(G48))</formula>
    </cfRule>
    <cfRule type="expression" dxfId="541" priority="57">
      <formula>AND(B48=1,OR(F48="S",F48="N"), NOT(ISBLANK(G48)))</formula>
    </cfRule>
    <cfRule type="expression" dxfId="540" priority="51" stopIfTrue="1">
      <formula>AND(B48=1,F48="NA", ISBLANK(G48))</formula>
    </cfRule>
  </conditionalFormatting>
  <conditionalFormatting sqref="G60:G69">
    <cfRule type="expression" dxfId="539" priority="44" stopIfTrue="1">
      <formula>AND(B60=1,OR(F60="S",F60="N",ISBLANK(F60)), ISBLANK(G60))</formula>
    </cfRule>
    <cfRule type="expression" dxfId="538" priority="43" stopIfTrue="1">
      <formula>AND(B60=1,F60="NA", ISBLANK(G60))</formula>
    </cfRule>
    <cfRule type="expression" dxfId="537" priority="49">
      <formula>AND(B60=1,OR(F60="S",F60="N"), NOT(ISBLANK(G60)))</formula>
    </cfRule>
  </conditionalFormatting>
  <conditionalFormatting sqref="G73:G80">
    <cfRule type="expression" dxfId="536" priority="41">
      <formula>AND(B73=1,OR(F73="S",F73="N"), NOT(ISBLANK(G73)))</formula>
    </cfRule>
    <cfRule type="expression" dxfId="535" priority="35" stopIfTrue="1">
      <formula>AND(B73=1,F73="NA", ISBLANK(G73))</formula>
    </cfRule>
    <cfRule type="expression" dxfId="534" priority="36" stopIfTrue="1">
      <formula>AND(B73=1,OR(F73="S",F73="N",ISBLANK(F73)), ISBLANK(G73))</formula>
    </cfRule>
  </conditionalFormatting>
  <conditionalFormatting sqref="G86:G101">
    <cfRule type="expression" dxfId="533" priority="33">
      <formula>AND(B86=1,OR(F86="S",F86="N"), NOT(ISBLANK(G86)))</formula>
    </cfRule>
    <cfRule type="expression" dxfId="532" priority="27" stopIfTrue="1">
      <formula>AND(B86=1,F86="NA", ISBLANK(G86))</formula>
    </cfRule>
    <cfRule type="expression" dxfId="531" priority="28" stopIfTrue="1">
      <formula>AND(B86=1,OR(F86="S",F86="N",ISBLANK(F86)), ISBLANK(G86))</formula>
    </cfRule>
  </conditionalFormatting>
  <conditionalFormatting sqref="G105:G113">
    <cfRule type="expression" dxfId="530" priority="25">
      <formula>AND(B105=1,OR(F105="S",F105="N"), NOT(ISBLANK(G105)))</formula>
    </cfRule>
    <cfRule type="expression" dxfId="529" priority="20" stopIfTrue="1">
      <formula>AND(B105=1,OR(F105="S",F105="N",ISBLANK(F105)), ISBLANK(G105))</formula>
    </cfRule>
    <cfRule type="expression" dxfId="528" priority="19" stopIfTrue="1">
      <formula>AND(B105=1,F105="NA", ISBLANK(G105))</formula>
    </cfRule>
  </conditionalFormatting>
  <conditionalFormatting sqref="G117">
    <cfRule type="expression" dxfId="527" priority="99" stopIfTrue="1">
      <formula>AND(B117=1,F117="NA", ISBLANK(G117))</formula>
    </cfRule>
    <cfRule type="expression" dxfId="526" priority="100" stopIfTrue="1">
      <formula>AND(B117=1,OR(F117="S",F117="N",ISBLANK(F117)), ISBLANK(G117))</formula>
    </cfRule>
    <cfRule type="expression" dxfId="525" priority="105">
      <formula>AND(B117=1,OR(F117="S",F117="N"), NOT(ISBLANK(G117)))</formula>
    </cfRule>
  </conditionalFormatting>
  <conditionalFormatting sqref="G118">
    <cfRule type="expression" dxfId="524" priority="280">
      <formula>AND(B118=1,F118="S", NOT(ISBLANK(G118)))</formula>
    </cfRule>
  </conditionalFormatting>
  <conditionalFormatting sqref="G119:G125">
    <cfRule type="expression" dxfId="523" priority="11" stopIfTrue="1">
      <formula>AND(B119=1,F119="NA", ISBLANK(G119))</formula>
    </cfRule>
    <cfRule type="expression" dxfId="522" priority="17">
      <formula>AND(B119=1,OR(F119="S",F119="N"), NOT(ISBLANK(G119)))</formula>
    </cfRule>
    <cfRule type="expression" dxfId="521" priority="12" stopIfTrue="1">
      <formula>AND(B119=1,OR(F119="S",F119="N",ISBLANK(F119)), ISBLANK(G119))</formula>
    </cfRule>
  </conditionalFormatting>
  <conditionalFormatting sqref="G129:G134">
    <cfRule type="expression" dxfId="520" priority="4" stopIfTrue="1">
      <formula>AND(B129=1,OR(F129="S",F129="N",ISBLANK(F129)), ISBLANK(G129))</formula>
    </cfRule>
    <cfRule type="expression" dxfId="519" priority="3" stopIfTrue="1">
      <formula>AND(B129=1,F129="NA", ISBLANK(G129))</formula>
    </cfRule>
    <cfRule type="expression" dxfId="518" priority="9">
      <formula>AND(B129=1,OR(F129="S",F129="N"), NOT(ISBLANK(G129)))</formula>
    </cfRule>
  </conditionalFormatting>
  <conditionalFormatting sqref="K11">
    <cfRule type="expression" dxfId="517" priority="174" stopIfTrue="1">
      <formula>AND($B11=1,OR($F11="S",$F11="P"),ISBLANK($K11))</formula>
    </cfRule>
    <cfRule type="expression" dxfId="515" priority="170" stopIfTrue="1">
      <formula>AND($B11=1,OR($F11="N",$F11="NA"))</formula>
    </cfRule>
  </conditionalFormatting>
  <conditionalFormatting sqref="K13:K18">
    <cfRule type="expression" dxfId="514" priority="82" stopIfTrue="1">
      <formula>AND($B13=1,OR($F13="N",$F13="NA"))</formula>
    </cfRule>
    <cfRule type="expression" dxfId="512" priority="86" stopIfTrue="1">
      <formula>AND($B13=1,OR($F13="S",$F13="P"),ISBLANK($K13))</formula>
    </cfRule>
  </conditionalFormatting>
  <conditionalFormatting sqref="K22">
    <cfRule type="expression" dxfId="511" priority="162" stopIfTrue="1">
      <formula>AND($B22=1,OR($F22="N",$F22="NA"))</formula>
    </cfRule>
    <cfRule type="expression" dxfId="510" priority="166" stopIfTrue="1">
      <formula>AND($B22=1,OR($F22="S",$F22="P"),ISBLANK($K22))</formula>
    </cfRule>
  </conditionalFormatting>
  <conditionalFormatting sqref="K24:K26">
    <cfRule type="expression" dxfId="508" priority="74" stopIfTrue="1">
      <formula>AND($B24=1,OR($F24="N",$F24="NA"))</formula>
    </cfRule>
    <cfRule type="expression" dxfId="507" priority="78" stopIfTrue="1">
      <formula>AND($B24=1,OR($F24="S",$F24="P"),ISBLANK($K24))</formula>
    </cfRule>
  </conditionalFormatting>
  <conditionalFormatting sqref="K30:K33">
    <cfRule type="expression" dxfId="504" priority="70" stopIfTrue="1">
      <formula>AND($B30=1,OR($F30="S",$F30="P"),ISBLANK($K30))</formula>
    </cfRule>
    <cfRule type="expression" dxfId="503" priority="66" stopIfTrue="1">
      <formula>AND($B30=1,OR($F30="N",$F30="NA"))</formula>
    </cfRule>
  </conditionalFormatting>
  <conditionalFormatting sqref="K37">
    <cfRule type="expression" dxfId="501" priority="150" stopIfTrue="1">
      <formula>AND($B37=1,OR($F37="S",$F37="P"),ISBLANK($K37))</formula>
    </cfRule>
    <cfRule type="expression" dxfId="500" priority="146" stopIfTrue="1">
      <formula>AND($B37=1,OR($F37="N",$F37="NA"))</formula>
    </cfRule>
  </conditionalFormatting>
  <conditionalFormatting sqref="K39:K44">
    <cfRule type="expression" dxfId="498" priority="62" stopIfTrue="1">
      <formula>AND($B39=1,OR($F39="S",$F39="P"),ISBLANK($K39))</formula>
    </cfRule>
    <cfRule type="expression" dxfId="496" priority="58" stopIfTrue="1">
      <formula>AND($B39=1,OR($F39="N",$F39="NA"))</formula>
    </cfRule>
  </conditionalFormatting>
  <conditionalFormatting sqref="K48:K56">
    <cfRule type="expression" dxfId="494" priority="54" stopIfTrue="1">
      <formula>AND($B48=1,OR($F48="S",$F48="P"),ISBLANK($K48))</formula>
    </cfRule>
    <cfRule type="expression" dxfId="493" priority="50" stopIfTrue="1">
      <formula>AND($B48=1,OR($F48="N",$F48="NA"))</formula>
    </cfRule>
  </conditionalFormatting>
  <conditionalFormatting sqref="K60:K69">
    <cfRule type="expression" dxfId="491" priority="46" stopIfTrue="1">
      <formula>AND($B60=1,OR($F60="S",$F60="P"),ISBLANK($K60))</formula>
    </cfRule>
    <cfRule type="expression" dxfId="490" priority="42" stopIfTrue="1">
      <formula>AND($B60=1,OR($F60="N",$F60="NA"))</formula>
    </cfRule>
  </conditionalFormatting>
  <conditionalFormatting sqref="K73:K80">
    <cfRule type="expression" dxfId="489" priority="34" stopIfTrue="1">
      <formula>AND($B73=1,OR($F73="N",$F73="NA"))</formula>
    </cfRule>
    <cfRule type="expression" dxfId="487" priority="38" stopIfTrue="1">
      <formula>AND($B73=1,OR($F73="S",$F73="P"),ISBLANK($K73))</formula>
    </cfRule>
  </conditionalFormatting>
  <conditionalFormatting sqref="K86:K101">
    <cfRule type="expression" dxfId="486" priority="26" stopIfTrue="1">
      <formula>AND($B86=1,OR($F86="N",$F86="NA"))</formula>
    </cfRule>
    <cfRule type="expression" dxfId="485" priority="30" stopIfTrue="1">
      <formula>AND($B86=1,OR($F86="S",$F86="P"),ISBLANK($K86))</formula>
    </cfRule>
  </conditionalFormatting>
  <conditionalFormatting sqref="K105:K113">
    <cfRule type="expression" dxfId="483" priority="18" stopIfTrue="1">
      <formula>AND($B105=1,OR($F105="N",$F105="NA"))</formula>
    </cfRule>
    <cfRule type="expression" dxfId="482" priority="22" stopIfTrue="1">
      <formula>AND($B105=1,OR($F105="S",$F105="P"),ISBLANK($K105))</formula>
    </cfRule>
  </conditionalFormatting>
  <conditionalFormatting sqref="K117">
    <cfRule type="expression" dxfId="480" priority="98" stopIfTrue="1">
      <formula>AND($B117=1,OR($F117="N",$F117="NA"))</formula>
    </cfRule>
    <cfRule type="expression" dxfId="478" priority="102" stopIfTrue="1">
      <formula>AND($B117=1,OR($F117="S",$F117="P"),ISBLANK($K117))</formula>
    </cfRule>
  </conditionalFormatting>
  <conditionalFormatting sqref="K119:K125">
    <cfRule type="expression" dxfId="476" priority="14" stopIfTrue="1">
      <formula>AND($B119=1,OR($F119="S",$F119="P"),ISBLANK($K119))</formula>
    </cfRule>
    <cfRule type="expression" dxfId="475" priority="10" stopIfTrue="1">
      <formula>AND($B119=1,OR($F119="N",$F119="NA"))</formula>
    </cfRule>
  </conditionalFormatting>
  <conditionalFormatting sqref="K129:K134">
    <cfRule type="expression" dxfId="474" priority="6" stopIfTrue="1">
      <formula>AND($B129=1,OR($F129="S",$F129="P"),ISBLANK($K129))</formula>
    </cfRule>
    <cfRule type="expression" dxfId="473" priority="2" stopIfTrue="1">
      <formula>AND($B129=1,OR($F129="N",$F129="NA"))</formula>
    </cfRule>
  </conditionalFormatting>
  <conditionalFormatting sqref="V5">
    <cfRule type="expression" dxfId="471" priority="1">
      <formula>AND((L5=1),ISBLANK($V5))</formula>
    </cfRule>
  </conditionalFormatting>
  <conditionalFormatting sqref="V11">
    <cfRule type="expression" dxfId="470" priority="175">
      <formula>AND((L11=1),ISBLANK($V11))</formula>
    </cfRule>
  </conditionalFormatting>
  <conditionalFormatting sqref="V13:V18">
    <cfRule type="expression" dxfId="469" priority="87">
      <formula>AND((L13=1),ISBLANK($V13))</formula>
    </cfRule>
  </conditionalFormatting>
  <conditionalFormatting sqref="V22">
    <cfRule type="expression" dxfId="468" priority="167">
      <formula>AND((L22=1),ISBLANK($V22))</formula>
    </cfRule>
  </conditionalFormatting>
  <conditionalFormatting sqref="V24:V26">
    <cfRule type="expression" dxfId="467" priority="79">
      <formula>AND((L24=1),ISBLANK($V24))</formula>
    </cfRule>
  </conditionalFormatting>
  <conditionalFormatting sqref="V30:V33">
    <cfRule type="expression" dxfId="466" priority="71">
      <formula>AND((L30=1),ISBLANK($V30))</formula>
    </cfRule>
  </conditionalFormatting>
  <conditionalFormatting sqref="V37">
    <cfRule type="expression" dxfId="465" priority="151">
      <formula>AND((L37=1),ISBLANK($V37))</formula>
    </cfRule>
  </conditionalFormatting>
  <conditionalFormatting sqref="V39:V44">
    <cfRule type="expression" dxfId="464" priority="63">
      <formula>AND((L39=1),ISBLANK($V39))</formula>
    </cfRule>
  </conditionalFormatting>
  <conditionalFormatting sqref="V48:V56">
    <cfRule type="expression" dxfId="463" priority="55">
      <formula>AND((L48=1),ISBLANK($V48))</formula>
    </cfRule>
  </conditionalFormatting>
  <conditionalFormatting sqref="V60:V69">
    <cfRule type="expression" dxfId="462" priority="47">
      <formula>AND((L60=1),ISBLANK($V60))</formula>
    </cfRule>
  </conditionalFormatting>
  <conditionalFormatting sqref="V73:V80">
    <cfRule type="expression" dxfId="461" priority="39">
      <formula>AND((L73=1),ISBLANK($V73))</formula>
    </cfRule>
  </conditionalFormatting>
  <conditionalFormatting sqref="V86:V101">
    <cfRule type="expression" dxfId="460" priority="31">
      <formula>AND((L86=1),ISBLANK($V86))</formula>
    </cfRule>
  </conditionalFormatting>
  <conditionalFormatting sqref="V105:V113">
    <cfRule type="expression" dxfId="459" priority="23">
      <formula>AND((L105=1),ISBLANK($V105))</formula>
    </cfRule>
  </conditionalFormatting>
  <conditionalFormatting sqref="V117">
    <cfRule type="expression" dxfId="458" priority="103">
      <formula>AND((L117=1),ISBLANK($V117))</formula>
    </cfRule>
  </conditionalFormatting>
  <conditionalFormatting sqref="V119:V125">
    <cfRule type="expression" dxfId="457" priority="15">
      <formula>AND((L119=1),ISBLANK($V119))</formula>
    </cfRule>
  </conditionalFormatting>
  <conditionalFormatting sqref="V129:V134">
    <cfRule type="expression" dxfId="456" priority="7">
      <formula>AND((L129=1),ISBLANK($V129))</formula>
    </cfRule>
  </conditionalFormatting>
  <dataValidations count="5">
    <dataValidation type="list" allowBlank="1" showInputMessage="1" showErrorMessage="1" error="Opção inválida!" sqref="U86 U73 U105 M73:O73 U11 U22 U30 U37 U48 U60 M105:O105 U117 M86:O86 M11:O11 M22:O22 M30:O30 M37:O37 M48:O48 M60:O60 Q73:S73 Q105:S105 M117:O117 Q117:S117 Q86:S86 Q11:S11 Q22:S22 Q30:S30 Q37:S37 Q48:S48 Q60:S60 U129 M129:O129 Q129:S129" xr:uid="{19C45B1C-2192-4E27-85C5-AC29DB6DC70C}">
      <formula1>"0,1,2,3,4"</formula1>
    </dataValidation>
    <dataValidation type="list" allowBlank="1" showDropDown="1" showInputMessage="1" showErrorMessage="1" error="opção inválida!" sqref="F73:F80 F60:F69 F11:F18 F129:F134 F117:F125 F22:F26 F30:F33 F37:F44 F48:F56 F86:F101 F105:F113" xr:uid="{CEEC64E2-D5C8-4543-BC6D-D05EF4715E1E}">
      <formula1>"s,n,S,N,p,P,na,NA,Na"</formula1>
    </dataValidation>
    <dataValidation type="list" allowBlank="1" showDropDown="1" showInputMessage="1" showErrorMessage="1" error="opção inválida!" sqref="I73:I80 I60:I69 I11:I18 I129:I134 I117:I125 I22:I26 I30:I33 I37:I44 I48:I56 I86:I101 I105:I113" xr:uid="{8A656FD0-1A2B-4734-9784-942ED7A53450}">
      <formula1>"s,n,p,S,N,P"</formula1>
    </dataValidation>
    <dataValidation type="list" allowBlank="1" showDropDown="1" showInputMessage="1" showErrorMessage="1" error="Opção inválida!" prompt="Há inovação?_x000a_1:Sim_x000a_0:Não" sqref="T117 T86 T11 T22 T30 T37 T48 T60 T73 T105 T129" xr:uid="{F70B5993-9D64-4288-9BE8-86CDDA5BB2BF}">
      <formula1>"0,1"</formula1>
    </dataValidation>
    <dataValidation type="list" allowBlank="1" showDropDown="1" showInputMessage="1" showErrorMessage="1" error="Opção inválida!" prompt="Aplica I.A.?   _x000a_1:SIm   _x000a_0 :Não" sqref="P117 P86 P11 P22 P30 P37 P48 P60 P73 P105 P129" xr:uid="{EC19DF1D-6E72-4DD1-A902-D928DD0C3C8A}">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5B3F4764-4285-436F-9863-BFFB47CBA78B}">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915DEDF1-396A-4BA0-97FE-30033DF27475}">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039F0728-C502-4A42-A4C5-109BD6737F54}">
            <x14:dataBar minLength="0" maxLength="100" gradient="0">
              <x14:cfvo type="num">
                <xm:f>0.1</xm:f>
              </x14:cfvo>
              <x14:cfvo type="num">
                <xm:f>1</xm:f>
              </x14:cfvo>
              <x14:negativeFillColor rgb="FFFF0000"/>
              <x14:axisColor rgb="FF000000"/>
            </x14:dataBar>
          </x14:cfRule>
          <xm:sqref>E83</xm:sqref>
        </x14:conditionalFormatting>
        <x14:conditionalFormatting xmlns:xm="http://schemas.microsoft.com/office/excel/2006/main">
          <x14:cfRule type="expression" priority="176" id="{9C69FC1E-D8E7-47E7-8010-27123FACA74E}">
            <xm:f>AND(B11=1,$J11&gt;Capa!$H$23)</xm:f>
            <x14:dxf>
              <fill>
                <patternFill>
                  <bgColor rgb="FFFFCCCC"/>
                </patternFill>
              </fill>
            </x14:dxf>
          </x14:cfRule>
          <xm:sqref>K11</xm:sqref>
        </x14:conditionalFormatting>
        <x14:conditionalFormatting xmlns:xm="http://schemas.microsoft.com/office/excel/2006/main">
          <x14:cfRule type="expression" priority="88" id="{D3BB6D71-DB19-41DB-A482-F4DD9357323F}">
            <xm:f>AND(B13=1,$J13&gt;Capa!$H$23)</xm:f>
            <x14:dxf>
              <fill>
                <patternFill>
                  <bgColor rgb="FFFFCCCC"/>
                </patternFill>
              </fill>
            </x14:dxf>
          </x14:cfRule>
          <xm:sqref>K13:K18</xm:sqref>
        </x14:conditionalFormatting>
        <x14:conditionalFormatting xmlns:xm="http://schemas.microsoft.com/office/excel/2006/main">
          <x14:cfRule type="expression" priority="168" id="{CCD4E66F-A983-4D3F-8220-F362AE481A9A}">
            <xm:f>AND(B22=1,$J22&gt;Capa!$H$23)</xm:f>
            <x14:dxf>
              <fill>
                <patternFill>
                  <bgColor rgb="FFFFCCCC"/>
                </patternFill>
              </fill>
            </x14:dxf>
          </x14:cfRule>
          <xm:sqref>K22</xm:sqref>
        </x14:conditionalFormatting>
        <x14:conditionalFormatting xmlns:xm="http://schemas.microsoft.com/office/excel/2006/main">
          <x14:cfRule type="expression" priority="80" id="{0A0D63C2-40B3-4B40-87E3-D1D9C0DBEFE1}">
            <xm:f>AND(B24=1,$J24&gt;Capa!$H$23)</xm:f>
            <x14:dxf>
              <fill>
                <patternFill>
                  <bgColor rgb="FFFFCCCC"/>
                </patternFill>
              </fill>
            </x14:dxf>
          </x14:cfRule>
          <xm:sqref>K24:K26</xm:sqref>
        </x14:conditionalFormatting>
        <x14:conditionalFormatting xmlns:xm="http://schemas.microsoft.com/office/excel/2006/main">
          <x14:cfRule type="expression" priority="72" id="{ACC41D31-8CC0-47E3-9238-D4EB35CEDA7A}">
            <xm:f>AND(B30=1,$J30&gt;Capa!$H$23)</xm:f>
            <x14:dxf>
              <fill>
                <patternFill>
                  <bgColor rgb="FFFFCCCC"/>
                </patternFill>
              </fill>
            </x14:dxf>
          </x14:cfRule>
          <xm:sqref>K30:K33</xm:sqref>
        </x14:conditionalFormatting>
        <x14:conditionalFormatting xmlns:xm="http://schemas.microsoft.com/office/excel/2006/main">
          <x14:cfRule type="expression" priority="186" id="{3F16673D-F7CC-44AB-AAD3-001B27974726}">
            <xm:f>$J34&gt;Capa!$H$23</xm:f>
            <x14:dxf>
              <fill>
                <patternFill>
                  <bgColor rgb="FFFFCCCC"/>
                </patternFill>
              </fill>
            </x14:dxf>
          </x14:cfRule>
          <xm:sqref>K34 K36 K38</xm:sqref>
        </x14:conditionalFormatting>
        <x14:conditionalFormatting xmlns:xm="http://schemas.microsoft.com/office/excel/2006/main">
          <x14:cfRule type="expression" priority="152" id="{D49B3718-F1E4-4180-A5CE-0C0F305207E3}">
            <xm:f>AND(B37=1,$J37&gt;Capa!$H$23)</xm:f>
            <x14:dxf>
              <fill>
                <patternFill>
                  <bgColor rgb="FFFFCCCC"/>
                </patternFill>
              </fill>
            </x14:dxf>
          </x14:cfRule>
          <xm:sqref>K37</xm:sqref>
        </x14:conditionalFormatting>
        <x14:conditionalFormatting xmlns:xm="http://schemas.microsoft.com/office/excel/2006/main">
          <x14:cfRule type="expression" priority="64" id="{22B40BEA-29CE-4997-94E7-DF305A3317F1}">
            <xm:f>AND(B39=1,$J39&gt;Capa!$H$23)</xm:f>
            <x14:dxf>
              <fill>
                <patternFill>
                  <bgColor rgb="FFFFCCCC"/>
                </patternFill>
              </fill>
            </x14:dxf>
          </x14:cfRule>
          <xm:sqref>K39:K44</xm:sqref>
        </x14:conditionalFormatting>
        <x14:conditionalFormatting xmlns:xm="http://schemas.microsoft.com/office/excel/2006/main">
          <x14:cfRule type="expression" priority="56" id="{7C56652F-4508-4638-988C-FD652C5506EA}">
            <xm:f>AND(B48=1,$J48&gt;Capa!$H$23)</xm:f>
            <x14:dxf>
              <fill>
                <patternFill>
                  <bgColor rgb="FFFFCCCC"/>
                </patternFill>
              </fill>
            </x14:dxf>
          </x14:cfRule>
          <xm:sqref>K48:K56</xm:sqref>
        </x14:conditionalFormatting>
        <x14:conditionalFormatting xmlns:xm="http://schemas.microsoft.com/office/excel/2006/main">
          <x14:cfRule type="expression" priority="48" id="{64A0FE4F-064F-48CE-B998-D5E76CECDA9F}">
            <xm:f>AND(B60=1,$J60&gt;Capa!$H$23)</xm:f>
            <x14:dxf>
              <fill>
                <patternFill>
                  <bgColor rgb="FFFFCCCC"/>
                </patternFill>
              </fill>
            </x14:dxf>
          </x14:cfRule>
          <xm:sqref>K60:K69</xm:sqref>
        </x14:conditionalFormatting>
        <x14:conditionalFormatting xmlns:xm="http://schemas.microsoft.com/office/excel/2006/main">
          <x14:cfRule type="expression" priority="40" id="{3D685B2B-2985-4B97-B44B-09448D3506D2}">
            <xm:f>AND(B73=1,$J73&gt;Capa!$H$23)</xm:f>
            <x14:dxf>
              <fill>
                <patternFill>
                  <bgColor rgb="FFFFCCCC"/>
                </patternFill>
              </fill>
            </x14:dxf>
          </x14:cfRule>
          <xm:sqref>K73:K80</xm:sqref>
        </x14:conditionalFormatting>
        <x14:conditionalFormatting xmlns:xm="http://schemas.microsoft.com/office/excel/2006/main">
          <x14:cfRule type="expression" priority="32" id="{5AB90C6A-25FA-4189-9827-67D53ABC1D97}">
            <xm:f>AND(B86=1,$J86&gt;Capa!$H$23)</xm:f>
            <x14:dxf>
              <fill>
                <patternFill>
                  <bgColor rgb="FFFFCCCC"/>
                </patternFill>
              </fill>
            </x14:dxf>
          </x14:cfRule>
          <xm:sqref>K86:K101</xm:sqref>
        </x14:conditionalFormatting>
        <x14:conditionalFormatting xmlns:xm="http://schemas.microsoft.com/office/excel/2006/main">
          <x14:cfRule type="expression" priority="24" id="{F7D21274-3B21-41CA-8DD2-3A583EB78C2B}">
            <xm:f>AND(B105=1,$J105&gt;Capa!$H$23)</xm:f>
            <x14:dxf>
              <fill>
                <patternFill>
                  <bgColor rgb="FFFFCCCC"/>
                </patternFill>
              </fill>
            </x14:dxf>
          </x14:cfRule>
          <xm:sqref>K105:K113</xm:sqref>
        </x14:conditionalFormatting>
        <x14:conditionalFormatting xmlns:xm="http://schemas.microsoft.com/office/excel/2006/main">
          <x14:cfRule type="expression" priority="104" id="{EAAE0E95-68B0-48D6-A794-E5F71ED6AA75}">
            <xm:f>AND(B117=1,$J117&gt;Capa!$H$23)</xm:f>
            <x14:dxf>
              <fill>
                <patternFill>
                  <bgColor rgb="FFFFCCCC"/>
                </patternFill>
              </fill>
            </x14:dxf>
          </x14:cfRule>
          <xm:sqref>K117</xm:sqref>
        </x14:conditionalFormatting>
        <x14:conditionalFormatting xmlns:xm="http://schemas.microsoft.com/office/excel/2006/main">
          <x14:cfRule type="expression" priority="16" id="{5BC972F6-9114-4B63-AF69-6076C4B37EEB}">
            <xm:f>AND(B119=1,$J119&gt;Capa!$H$23)</xm:f>
            <x14:dxf>
              <fill>
                <patternFill>
                  <bgColor rgb="FFFFCCCC"/>
                </patternFill>
              </fill>
            </x14:dxf>
          </x14:cfRule>
          <xm:sqref>K119:K125</xm:sqref>
        </x14:conditionalFormatting>
        <x14:conditionalFormatting xmlns:xm="http://schemas.microsoft.com/office/excel/2006/main">
          <x14:cfRule type="expression" priority="8" id="{C8D99A89-DB39-4014-B594-DDBA2343F68D}">
            <xm:f>AND(B129=1,$J129&gt;Capa!$H$23)</xm:f>
            <x14:dxf>
              <fill>
                <patternFill>
                  <bgColor rgb="FFFFCCCC"/>
                </patternFill>
              </fill>
            </x14:dxf>
          </x14:cfRule>
          <xm:sqref>K129:K134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AG174"/>
  <sheetViews>
    <sheetView zoomScale="115" zoomScaleNormal="115" workbookViewId="0">
      <selection activeCell="F11" sqref="F11"/>
    </sheetView>
  </sheetViews>
  <sheetFormatPr defaultColWidth="8.85546875" defaultRowHeight="26.25" x14ac:dyDescent="0.25"/>
  <cols>
    <col min="1" max="1" width="2.140625" style="210" customWidth="1"/>
    <col min="2" max="2" width="2.42578125" style="210" customWidth="1"/>
    <col min="3" max="3" width="2.85546875" style="1" customWidth="1"/>
    <col min="4" max="4" width="5.140625" style="271" customWidth="1"/>
    <col min="5" max="5" width="52.5703125" style="272" customWidth="1"/>
    <col min="6" max="6" width="5.85546875" style="31" customWidth="1"/>
    <col min="7" max="7" width="33" style="273" customWidth="1"/>
    <col min="8" max="8" width="0.85546875" style="273" customWidth="1"/>
    <col min="9" max="9" width="5.85546875" style="31" customWidth="1"/>
    <col min="10" max="10" width="1.42578125" style="273" customWidth="1"/>
    <col min="11" max="11" width="36.140625" style="274" customWidth="1"/>
    <col min="12" max="12" width="2.140625" style="273" customWidth="1"/>
    <col min="13" max="18" width="4.85546875" style="75" customWidth="1"/>
    <col min="19" max="21" width="4.85546875" style="215" customWidth="1"/>
    <col min="22" max="22" width="28.85546875" style="215" customWidth="1"/>
    <col min="23" max="23" width="5.140625" style="76" customWidth="1"/>
    <col min="24" max="24" width="2.42578125" style="214" customWidth="1"/>
    <col min="25" max="25" width="39.140625" style="214" customWidth="1"/>
    <col min="26" max="26" width="19.42578125" style="214" customWidth="1"/>
    <col min="27" max="27" width="22" style="214" customWidth="1"/>
    <col min="28" max="28" width="24.85546875" style="214" customWidth="1"/>
    <col min="29" max="33" width="9.140625" style="214"/>
    <col min="34" max="16384" width="8.85546875" style="215"/>
  </cols>
  <sheetData>
    <row r="1" spans="1:28" ht="17.100000000000001" customHeight="1" x14ac:dyDescent="0.25">
      <c r="C1" s="139"/>
      <c r="D1" s="276"/>
      <c r="E1" s="277" t="str">
        <f>Capa!A1</f>
        <v xml:space="preserve">MEGplan®ESG </v>
      </c>
      <c r="F1" s="430" t="s">
        <v>22</v>
      </c>
      <c r="G1" s="432"/>
      <c r="H1" s="491"/>
      <c r="I1" s="427"/>
      <c r="J1" s="252"/>
      <c r="K1" s="434"/>
      <c r="L1" s="252"/>
      <c r="M1" s="725" t="s">
        <v>23</v>
      </c>
      <c r="N1" s="726"/>
      <c r="O1" s="726"/>
      <c r="P1" s="726"/>
      <c r="Q1" s="726"/>
      <c r="R1" s="726"/>
      <c r="S1" s="726"/>
      <c r="T1" s="727"/>
      <c r="U1" s="715" t="s">
        <v>24</v>
      </c>
      <c r="V1" s="587"/>
      <c r="W1" s="717" t="s">
        <v>25</v>
      </c>
      <c r="X1" s="602"/>
      <c r="Y1" s="600"/>
      <c r="Z1" s="600"/>
      <c r="AA1" s="600"/>
      <c r="AB1" s="600"/>
    </row>
    <row r="2" spans="1:28" ht="18" customHeight="1" thickBot="1" x14ac:dyDescent="0.3">
      <c r="C2" s="8" t="s">
        <v>26</v>
      </c>
      <c r="D2" s="8" t="s">
        <v>27</v>
      </c>
      <c r="E2" s="386" t="str">
        <f>"PGs: "&amp;SUMIFS($B$1:$B$230,$A$1:$A$230,"="&amp;A4&amp;"??",$D$1:$D$230,"=PG",B$1:B$230,"&gt;0")&amp;"  LV: "&amp;SUMIFS($B$1:$B$230,$A$1:$A$230,"="&amp;A4&amp;"??",$D$1:$D$230,"&lt;&gt;PG",B$1:B$230,"&gt;0")</f>
        <v>PGs: 4  LV: 10</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16"/>
      <c r="V2" s="589" t="s">
        <v>41</v>
      </c>
      <c r="W2" s="718"/>
      <c r="X2" s="603"/>
      <c r="Y2" s="601" t="s">
        <v>42</v>
      </c>
      <c r="Z2" s="601" t="s">
        <v>43</v>
      </c>
      <c r="AA2" s="601" t="s">
        <v>44</v>
      </c>
      <c r="AB2" s="601" t="s">
        <v>45</v>
      </c>
    </row>
    <row r="3" spans="1:28" ht="18" customHeight="1" x14ac:dyDescent="0.25">
      <c r="A3" s="210" t="s">
        <v>372</v>
      </c>
      <c r="B3" s="7" t="str">
        <f>IF(  AND(ISNUMBER(C3),OR(ISNUMBER(D3),D3="PG")),IF(IF(Capa!$B$6="B",0,Capa!$B$6)&gt;=C3,1,0),"")</f>
        <v/>
      </c>
      <c r="C3" s="85"/>
      <c r="D3" s="86"/>
      <c r="E3" s="98">
        <f>IF(SUMIFS($B$1:$B$230,$A$1:$A$230,"="&amp;A4&amp;"??",B$1:B$230,"&gt;0")&lt;=0,0,COUNTIFS($F$1:$F$230,"*",$A$1:$A$230,"="&amp;A4&amp;"??",B$1:B$230,"&gt;0")/SUMIFS($B$1:$B$230,$A$1:$A$230,"="&amp;A4&amp;"??",B$1:B$230,"&gt;0"))</f>
        <v>0</v>
      </c>
      <c r="F3" s="37"/>
      <c r="G3" s="101"/>
      <c r="H3" s="284"/>
      <c r="I3" s="38"/>
      <c r="J3" s="37"/>
      <c r="K3" s="87"/>
      <c r="L3" s="492"/>
      <c r="M3" s="722">
        <f>MIN(IF(OR(Capa!$B$6="B",Capa!$B$6=1),AVERAGE(M7,M42),(M7*'Quadro Geral'!D17+M42*'Quadro Geral'!D18)/'Quadro Geral'!D16)+U3,1)</f>
        <v>0</v>
      </c>
      <c r="N3" s="723"/>
      <c r="O3" s="723"/>
      <c r="P3" s="723"/>
      <c r="Q3" s="723"/>
      <c r="R3" s="723"/>
      <c r="S3" s="723"/>
      <c r="T3" s="724"/>
      <c r="U3" s="467">
        <f>IF(OR(AND(Capa!$B$6=2,P4&gt;0),AND(Capa!$B$6=3,P4&gt;1)),0.05,0)+IF(AND(Capa!$B$6=3,P4=1),0.02,0)+IF(OR(AND(Capa!$B$6=2,T4&gt;0),AND(Capa!$B$6=3,T4&gt;1)),0.05,0)+IF(AND(Capa!$B$6=3,T4=1),0.02,0)</f>
        <v>0</v>
      </c>
      <c r="V3" s="88"/>
      <c r="W3" s="472"/>
      <c r="X3" s="579"/>
      <c r="Y3" s="579"/>
      <c r="Z3" s="579"/>
      <c r="AA3" s="579"/>
      <c r="AB3" s="579"/>
    </row>
    <row r="4" spans="1:28" ht="25.5" x14ac:dyDescent="0.25">
      <c r="A4" s="210" t="s">
        <v>372</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289" t="s">
        <v>373</v>
      </c>
      <c r="F4" s="382">
        <f>IF(COUNTIFS($A$1:$A$230,"="&amp;A4&amp;"??",$B$1:$B$230,"&gt;0",$D$1:$D$230,"&gt;0")&gt;0,(COUNTIFS($A$1:$A$230,"="&amp;A4&amp;"??",$B$1:$B$230,"&gt;0",$D$1:$D$230,"&gt;0",F$1:F$230,"=S")+COUNTIFS($A$1:$A$230,"="&amp;A4&amp;"??",$B$1:$B$230,"&gt;0",$D$1:$D$230,"&gt;0",$F$1:$F$230,"=P")+COUNTIFS($A$1:$A$230,"="&amp;A4&amp;"??",$B$1:$B$230,"&gt;0",$D$1:$D$230,"&gt;0",F$1:F$230,"=N")+COUNTIFS($A$1:$A$230,"="&amp;A4&amp;"??",$B$1:$B$230,"&gt;0",$D$1:$D$230,"&gt;0",F$1:F$230,"=NA"))/COUNTIFS($A$1:$A$230,"="&amp;A4&amp;"??",$B$1:$B$230,"&gt;0",$D$1:$D$230,"&gt;0"),0)</f>
        <v>0</v>
      </c>
      <c r="G4" s="235"/>
      <c r="H4" s="220"/>
      <c r="I4" s="382">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219"/>
      <c r="K4" s="385"/>
      <c r="L4" s="219"/>
      <c r="M4" s="105">
        <f t="shared" ref="M4:S4" si="0">AVERAGE(M8,M76)</f>
        <v>0</v>
      </c>
      <c r="N4" s="100">
        <f t="shared" si="0"/>
        <v>0</v>
      </c>
      <c r="O4" s="100">
        <f t="shared" si="0"/>
        <v>0</v>
      </c>
      <c r="P4" s="414">
        <f>P8+P43</f>
        <v>0</v>
      </c>
      <c r="Q4" s="100">
        <f t="shared" si="0"/>
        <v>0</v>
      </c>
      <c r="R4" s="100">
        <f t="shared" si="0"/>
        <v>0</v>
      </c>
      <c r="S4" s="100">
        <f t="shared" si="0"/>
        <v>0</v>
      </c>
      <c r="T4" s="414">
        <f>T8+T43</f>
        <v>0</v>
      </c>
      <c r="U4" s="100"/>
      <c r="V4" s="237"/>
      <c r="W4" s="475"/>
      <c r="X4" s="522"/>
      <c r="Y4" s="579"/>
      <c r="Z4" s="579"/>
      <c r="AA4" s="579"/>
      <c r="AB4" s="579"/>
    </row>
    <row r="5" spans="1:28" ht="30" x14ac:dyDescent="0.25">
      <c r="A5" s="210" t="s">
        <v>372</v>
      </c>
      <c r="B5" s="7" t="str">
        <f>IF(  AND(ISNUMBER(C5),OR(ISNUMBER(D5),D5="PG")),IF(IF(Capa!$B$6="B",0,Capa!$B$6)&gt;=C5,1,0),"")</f>
        <v/>
      </c>
      <c r="C5" s="19" t="str">
        <f t="shared" ref="C5:C68" si="1">IF(ISBLANK(D5),"",IF(ISERR(SEARCH(D5&amp;"\","&lt;B&gt;\&lt;1&gt;\&lt;2&gt;\&lt;3&gt;\")),IF(AND(NOT(ISBLANK(C4)),C4&lt;=3),C4,""),
IF(SEARCH(D5&amp;"\","&lt;B&gt;\&lt;1&gt;\&lt;2&gt;\&lt;3&gt;\")=1,0,IF(SEARCH(D5&amp;"\","&lt;B&gt;\&lt;1&gt;\&lt;2&gt;\&lt;3&gt;\")=5,1,IF(SEARCH(D5&amp;"\","&lt;B&gt;\&lt;1&gt;\&lt;2&gt;\&lt;3&gt;\")=9,2,IF(SEARCH(D5&amp;"\","&lt;B&gt;\&lt;1&gt;\&lt;2&gt;\&lt;3&gt;\")=13,3,""))))))</f>
        <v/>
      </c>
      <c r="D5" s="20"/>
      <c r="E5" s="404" t="s">
        <v>374</v>
      </c>
      <c r="F5" s="290"/>
      <c r="G5" s="290"/>
      <c r="H5" s="252"/>
      <c r="I5" s="290"/>
      <c r="J5" s="253"/>
      <c r="K5" s="290"/>
      <c r="L5" s="701" t="str">
        <f>IF($F$4&gt;0.9,1,"")</f>
        <v/>
      </c>
      <c r="M5" s="728"/>
      <c r="N5" s="729"/>
      <c r="O5" s="729"/>
      <c r="P5" s="729"/>
      <c r="Q5" s="729"/>
      <c r="R5" s="729"/>
      <c r="S5" s="729"/>
      <c r="T5" s="730"/>
      <c r="U5" s="224"/>
      <c r="V5" s="464"/>
      <c r="W5" s="582"/>
      <c r="X5" s="522"/>
      <c r="Y5" s="522"/>
      <c r="Z5" s="522"/>
      <c r="AA5" s="522"/>
      <c r="AB5" s="522"/>
    </row>
    <row r="6" spans="1:28" ht="6.6" customHeight="1" x14ac:dyDescent="0.25">
      <c r="B6" s="7" t="str">
        <f>IF(  AND(ISNUMBER(C6),OR(ISNUMBER(D6),D6="PG")),IF(IF(Capa!$B$6="B",0,Capa!$B$6)&gt;=C6,1,0),"")</f>
        <v/>
      </c>
      <c r="C6" s="127" t="str">
        <f t="shared" si="1"/>
        <v/>
      </c>
      <c r="D6" s="128"/>
      <c r="E6" s="291"/>
      <c r="F6" s="123"/>
      <c r="G6" s="227"/>
      <c r="H6" s="227"/>
      <c r="I6" s="123"/>
      <c r="J6" s="227"/>
      <c r="K6" s="245"/>
      <c r="L6" s="227"/>
      <c r="M6" s="124"/>
      <c r="N6" s="124"/>
      <c r="O6" s="124"/>
      <c r="P6" s="124"/>
      <c r="Q6" s="124"/>
      <c r="R6" s="124"/>
      <c r="S6" s="251"/>
      <c r="T6" s="251"/>
      <c r="U6" s="260"/>
      <c r="V6" s="523"/>
      <c r="W6" s="134"/>
      <c r="X6" s="522"/>
      <c r="Y6" s="522"/>
      <c r="Z6" s="522"/>
      <c r="AA6" s="522"/>
      <c r="AB6" s="522"/>
    </row>
    <row r="7" spans="1:28" x14ac:dyDescent="0.25">
      <c r="A7" s="210" t="s">
        <v>375</v>
      </c>
      <c r="B7" s="7" t="str">
        <f>IF(  AND(ISNUMBER(C7),OR(ISNUMBER(D7),D7="PG")),IF(IF(Capa!$B$6="B",0,Capa!$B$6)&gt;=C7,1,0),"")</f>
        <v/>
      </c>
      <c r="C7" s="11" t="str">
        <f t="shared" si="1"/>
        <v/>
      </c>
      <c r="D7" s="15"/>
      <c r="E7" s="395" t="s">
        <v>376</v>
      </c>
      <c r="F7" s="381">
        <f>IF(COUNTIFS($A$1:$A$230,"="&amp;A7&amp;"?",$B$1:$B$230,"&gt;0",$D$1:$D$230,"&gt;0")&gt;0,(COUNTIFS($A$1:$A$230,"="&amp;A7&amp;"?",$B$1:$B$230,"&gt;0",$D$1:$D$230,"&gt;0",F$1:F$230,"=S")+COUNTIFS($A$1:$A$230,"="&amp;A7&amp;"?",$B$1:$B$230,"&gt;0",$D$1:$D$230,"&gt;0",$F$1:$F$230,"=P")+COUNTIFS($A$1:$A$230,"="&amp;A7&amp;"?",$B$1:$B$230,"&gt;0",$D$1:$D$230,"&gt;0",F$1:F$230,"=N")+COUNTIFS($A$1:$A$230,"="&amp;A7&amp;"?",$B$1:$B$230,"&gt;0",$D$1:$D$230,"&gt;0",F$1:F$230,"=NA"))/COUNTIFS($A$1:$A$230,"="&amp;A7&amp;"?",$B$1:$B$230,"&gt;0",$D$1:$D$230,"&gt;0"),0)</f>
        <v>0</v>
      </c>
      <c r="G7" s="232"/>
      <c r="H7" s="232"/>
      <c r="I7" s="381">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219"/>
      <c r="K7" s="259"/>
      <c r="L7" s="219"/>
      <c r="M7" s="722">
        <f>(M8*20+N8*10+O8*10+Q8*30+R8*15+S8*15)/100</f>
        <v>0</v>
      </c>
      <c r="N7" s="723"/>
      <c r="O7" s="723"/>
      <c r="P7" s="723"/>
      <c r="Q7" s="723"/>
      <c r="R7" s="723"/>
      <c r="S7" s="723"/>
      <c r="T7" s="724"/>
      <c r="U7" s="450"/>
      <c r="V7" s="524"/>
      <c r="W7" s="583"/>
      <c r="X7" s="579"/>
      <c r="Y7" s="579"/>
      <c r="Z7" s="579"/>
      <c r="AA7" s="579"/>
      <c r="AB7" s="579"/>
    </row>
    <row r="8" spans="1:28" ht="15.95" customHeight="1" x14ac:dyDescent="0.25">
      <c r="A8" s="210" t="s">
        <v>375</v>
      </c>
      <c r="B8" s="7" t="str">
        <f>IF(  AND(ISNUMBER(C8),OR(ISNUMBER(D8),D8="PG")),IF(IF(Capa!$B$6="B",0,Capa!$B$6)&gt;=C8,1,0),"")</f>
        <v/>
      </c>
      <c r="C8" s="109" t="str">
        <f t="shared" si="1"/>
        <v/>
      </c>
      <c r="D8" s="110"/>
      <c r="E8" s="98">
        <f>IF(SUMIFS($B$1:$B$230,$A$1:$A$230,"="&amp;A7&amp;"?",B$1:B$230,"&gt;0")&lt;=0,0,COUNTIFS($F$1:$F$230,"*",$A$1:$A$230,"="&amp;A7&amp;"?",B$1:B$230,"&gt;0")/SUMIFS($B$1:$B$230,$A$1:$A$230,"="&amp;A7&amp;"?",B$1:B$230,"&gt;0"))</f>
        <v>0</v>
      </c>
      <c r="F8" s="116"/>
      <c r="G8" s="252"/>
      <c r="H8" s="253"/>
      <c r="I8" s="136"/>
      <c r="J8" s="253"/>
      <c r="K8" s="254"/>
      <c r="L8" s="255"/>
      <c r="M8" s="100">
        <f>(COUNTIFS($A$1:$A$230,"="&amp;$A7&amp;"?",$B$1:$B$230,"&gt;0",$D$1:$D$230,"=PG",M$1:M$230,"=1")*(IF(Capa!$B$6="B",100,IF(Capa!$B$6=1,50,IF(Capa!$B$6=2,33,25))))+COUNTIFS($A$1:$A$230,"="&amp;$A7&amp;"?",$B$1:$B$230,"&gt;0",$D$1:$D$230,"=PG",M$1:M$230,"=2")*(IF(Capa!$B$6="B",100,IF(Capa!$B$6=1,100,IF(Capa!$B$6=2,67,50))))+COUNTIFS($A$1:$A$230,"="&amp;$A7&amp;"?",$B$1:$B$230,"&gt;0",$D$1:$D$230,"=PG",M$1:M$230,"=3")*(IF(Capa!$B$6="B",100,IF(Capa!$B$6=1,100,IF(Capa!$B$6=2,100,75))))+COUNTIFS($A$1:$A$230,"="&amp;$A7&amp;"?",$B$1:$B$230,"&gt;0",$D$1:$D$230,"=PG",M$1:M$230,"=4")*100)/(COUNTIFS($A$1:$A$230,"="&amp;$A7&amp;"?",$B$1:$B$230,"&gt;0",$D$1:$D$230,"=PG")*100)</f>
        <v>0</v>
      </c>
      <c r="N8" s="100">
        <f>(COUNTIFS($A$1:$A$230,"="&amp;$A7&amp;"?",$B$1:$B$230,"&gt;0",$D$1:$D$230,"=PG",N$1:N$230,"=1")*(IF(Capa!$B$6="B",100,IF(Capa!$B$6=1,50,IF(Capa!$B$6=2,33,25))))+COUNTIFS($A$1:$A$230,"="&amp;$A7&amp;"?",$B$1:$B$230,"&gt;0",$D$1:$D$230,"=PG",N$1:N$230,"=2")*(IF(Capa!$B$6="B",100,IF(Capa!$B$6=1,100,IF(Capa!$B$6=2,67,50))))+COUNTIFS($A$1:$A$230,"="&amp;$A7&amp;"?",$B$1:$B$230,"&gt;0",$D$1:$D$230,"=PG",N$1:N$230,"=3")*(IF(Capa!$B$6="B",100,IF(Capa!$B$6=1,100,IF(Capa!$B$6=2,100,75))))+COUNTIFS($A$1:$A$230,"="&amp;$A7&amp;"?",$B$1:$B$230,"&gt;0",$D$1:$D$230,"=PG",N$1:N$230,"=4")*100)/(COUNTIFS($A$1:$A$230,"="&amp;$A7&amp;"?",$B$1:$B$230,"&gt;0",$D$1:$D$230,"=PG")*100)</f>
        <v>0</v>
      </c>
      <c r="O8" s="100">
        <f>(COUNTIFS($A$1:$A$230,"="&amp;$A7&amp;"?",$B$1:$B$230,"&gt;0",$D$1:$D$230,"=PG",O$1:O$230,"=1")*(IF(Capa!$B$6="B",100,IF(Capa!$B$6=1,50,IF(Capa!$B$6=2,33,25))))+COUNTIFS($A$1:$A$230,"="&amp;$A7&amp;"?",$B$1:$B$230,"&gt;0",$D$1:$D$230,"=PG",O$1:O$230,"=2")*(IF(Capa!$B$6="B",100,IF(Capa!$B$6=1,100,IF(Capa!$B$6=2,67,50))))+COUNTIFS($A$1:$A$230,"="&amp;$A7&amp;"?",$B$1:$B$230,"&gt;0",$D$1:$D$230,"=PG",O$1:O$230,"=3")*(IF(Capa!$B$6="B",100,IF(Capa!$B$6=1,100,IF(Capa!$B$6=2,100,75))))+COUNTIFS($A$1:$A$230,"="&amp;$A7&amp;"?",$B$1:$B$230,"&gt;0",$D$1:$D$230,"=PG",O$1:O$230,"=4")*100)/(COUNTIFS($A$1:$A$230,"="&amp;$A7&amp;"?",$B$1:$B$230,"&gt;0",$D$1:$D$230,"=PG")*100)</f>
        <v>0</v>
      </c>
      <c r="P8" s="414">
        <f>P11+P23</f>
        <v>0</v>
      </c>
      <c r="Q8" s="100">
        <f>(COUNTIFS($A$1:$A$230,"="&amp;$A7&amp;"?",$B$1:$B$230,"",$L$1:$L$230,"&gt;=0",Q$1:Q$230,"=1")*(IF(Capa!$B$6="B",100,IF(Capa!$B$6=1,50,IF(Capa!$B$6=2,33,25))))+COUNTIFS($A$1:$A$230,"="&amp;$A7&amp;"?",$B$1:$B$230,"",$L$1:$L$230,"&gt;=0",Q$1:Q$230,"=2")*(IF(Capa!$B$6="B",100,IF(Capa!$B$6=1,100,IF(Capa!$B$6=2,67,50))))+COUNTIFS($A$1:$A$230,"="&amp;$A7&amp;"?",$B$1:$B$230,"",$L$1:$L$230,"&gt;=0",Q$1:Q$230,"=3")*(IF(Capa!$B$6="B",100,IF(Capa!$B$6=1,100,IF(Capa!$B$6=2,100,75))))+COUNTIFS($A$1:$A$230,"="&amp;$A7&amp;"?",$B$1:$B$230,"",$L$1:$L$230,"&gt;=0",Q$1:Q$230,"=4")*100)/(COUNTIFS($A$1:$A$230,"="&amp;$A7&amp;"?",$B$1:$B$230,"",$L$1:$L$230,"&gt;=0")*100)</f>
        <v>0</v>
      </c>
      <c r="R8" s="100">
        <f>(COUNTIFS($A$1:$A$230,"="&amp;$A7&amp;"?",$B$1:$B$230,"&gt;0",$D$1:$D$230,"=PG",R$1:R$230,"=1")*(IF(Capa!$B$6="B",100,IF(Capa!$B$6=1,50,IF(Capa!$B$6=2,33,25))))+COUNTIFS($A$1:$A$230,"="&amp;$A7&amp;"?",$B$1:$B$230,"&gt;0",$D$1:$D$230,"=PG",R$1:R$230,"=2")*(IF(Capa!$B$6="B",100,IF(Capa!$B$6=1,100,IF(Capa!$B$6=2,67,50))))+COUNTIFS($A$1:$A$230,"="&amp;$A7&amp;"?",$B$1:$B$230,"&gt;0",$D$1:$D$230,"=PG",R$1:R$230,"=3")*(IF(Capa!$B$6="B",100,IF(Capa!$B$6=1,100,IF(Capa!$B$6=2,100,75))))+COUNTIFS($A$1:$A$230,"="&amp;$A7&amp;"?",$B$1:$B$230,"&gt;0",$D$1:$D$230,"=PG",R$1:R$230,"=4")*100)/(COUNTIFS($A$1:$A$230,"="&amp;$A7&amp;"?",$B$1:$B$230,"&gt;0",$D$1:$D$230,"=PG")*100)</f>
        <v>0</v>
      </c>
      <c r="S8" s="100">
        <f>(COUNTIFS($A$1:$A$230,"="&amp;$A7&amp;"?",$B$1:$B$230,"&gt;0",$D$1:$D$230,"=PG",S$1:S$230,"=1")*(IF(Capa!$B$6="B",100,IF(Capa!$B$6=1,50,IF(Capa!$B$6=2,33,25))))+COUNTIFS($A$1:$A$230,"="&amp;$A7&amp;"?",$B$1:$B$230,"&gt;0",$D$1:$D$230,"=PG",S$1:S$230,"=2")*(IF(Capa!$B$6="B",100,IF(Capa!$B$6=1,100,IF(Capa!$B$6=2,67,50))))+COUNTIFS($A$1:$A$230,"="&amp;$A7&amp;"?",$B$1:$B$230,"&gt;0",$D$1:$D$230,"=PG",S$1:S$230,"=3")*(IF(Capa!$B$6="B",100,IF(Capa!$B$6=1,100,IF(Capa!$B$6=2,100,75))))+COUNTIFS($A$1:$A$230,"="&amp;$A7&amp;"?",$B$1:$B$230,"&gt;0",$D$1:$D$230,"=PG",S$1:S$230,"=4")*100)/(COUNTIFS($A$1:$A$230,"="&amp;$A7&amp;"?",$B$1:$B$230,"&gt;0",$D$1:$D$230,"=PG")*100)</f>
        <v>0</v>
      </c>
      <c r="T8" s="414">
        <f>T11+T23</f>
        <v>0</v>
      </c>
      <c r="U8" s="453"/>
      <c r="V8" s="525"/>
      <c r="W8" s="584"/>
      <c r="X8" s="522"/>
      <c r="Y8" s="522"/>
      <c r="Z8" s="522"/>
      <c r="AA8" s="522"/>
      <c r="AB8" s="522"/>
    </row>
    <row r="9" spans="1:28" x14ac:dyDescent="0.25">
      <c r="A9" s="210" t="s">
        <v>377</v>
      </c>
      <c r="B9" s="7" t="str">
        <f>IF(  AND(ISNUMBER(C9),OR(ISNUMBER(D9),D9="PG")),IF(IF(Capa!$B$6="B",0,Capa!$B$6)&gt;=C9,1,0),"")</f>
        <v/>
      </c>
      <c r="C9" s="11" t="str">
        <f t="shared" si="1"/>
        <v/>
      </c>
      <c r="D9" s="15"/>
      <c r="E9" s="258" t="s">
        <v>378</v>
      </c>
      <c r="F9" s="23"/>
      <c r="G9" s="219"/>
      <c r="H9" s="219"/>
      <c r="I9" s="23"/>
      <c r="J9" s="219"/>
      <c r="K9" s="259"/>
      <c r="L9" s="383">
        <f>IF(AND($B11=1,D11="PG"),IF(COUNTIFS($A$1:$A$230,"="&amp;$A9,$B$1:$B$230,"&gt;0",$D$1:$D$230,"&gt;0")&gt;0,
        (COUNTIFS($A$1:$A$230,"="&amp;$A9,$B$1:$B$230,"&gt;0",$D$1:$D$230,"&gt;0",F$1:F$230,"=S",I$1:I$230,"") +
         (COUNTIFS($A$1:$A$230,"="&amp;$A9,$B$1:$B$230,"&gt;0",$D$1:$D$230,"&gt;0",$F$1:$F$230,"=P",I$1:I$230,"")/2) +
         COUNTIFS($A$1:$A$230,"="&amp;$A9,$B$1:$B$230,"&gt;0",$D$1:$D$230,"&gt;0",I$1:I$230,"=S") +
         (COUNTIFS($A$1:$A$230,"="&amp;$A9,$B$1:$B$230,"&gt;0",$D$1:$D$230,"&gt;0",I$1:I$230,"=P")/2)
         )/COUNTIFS($A$1:$A$230,"="&amp;$A9,$B$1:$B$230,"&gt;0",$D$1:$D$230,"&gt;0"),1),"")</f>
        <v>0</v>
      </c>
      <c r="M9" s="380"/>
      <c r="N9" s="70"/>
      <c r="O9" s="68"/>
      <c r="P9" s="68"/>
      <c r="Q9" s="83">
        <f>IF(L9="","",MIN(IF(ISBLANK(Q11),0,Q11),IF(L9&gt;0.9,4,IF(L9&gt;0.5,3,IF(L9&gt;0.3,2,IF(OR(L9&gt;0,Q11&gt;0),1,0))))))</f>
        <v>0</v>
      </c>
      <c r="R9" s="70"/>
      <c r="S9" s="260"/>
      <c r="T9" s="260"/>
      <c r="U9" s="260"/>
      <c r="V9" s="524"/>
      <c r="W9" s="583"/>
      <c r="X9" s="579"/>
      <c r="Y9" s="579"/>
      <c r="Z9" s="579"/>
      <c r="AA9" s="579"/>
      <c r="AB9" s="579"/>
    </row>
    <row r="10" spans="1:28" ht="7.35" customHeight="1" x14ac:dyDescent="0.25">
      <c r="A10" s="210" t="s">
        <v>377</v>
      </c>
      <c r="B10" s="7" t="str">
        <f>IF(  AND(ISNUMBER(C10),OR(ISNUMBER(D10),D10="PG")),IF(IF(Capa!$B$6="B",0,Capa!$B$6)&gt;=C10,1,0),"")</f>
        <v/>
      </c>
      <c r="C10" s="6">
        <f t="shared" si="1"/>
        <v>0</v>
      </c>
      <c r="D10" s="18" t="s">
        <v>53</v>
      </c>
      <c r="E10" s="256"/>
      <c r="F10" s="27"/>
      <c r="G10" s="216"/>
      <c r="H10" s="239"/>
      <c r="I10" s="26"/>
      <c r="J10" s="239"/>
      <c r="K10" s="257"/>
      <c r="L10" s="240"/>
      <c r="M10" s="69"/>
      <c r="N10" s="69"/>
      <c r="O10" s="69"/>
      <c r="P10" s="69"/>
      <c r="Q10" s="69"/>
      <c r="R10" s="69"/>
      <c r="S10" s="261"/>
      <c r="T10" s="261"/>
      <c r="U10" s="303"/>
      <c r="V10" s="526"/>
      <c r="W10" s="585"/>
      <c r="X10" s="522"/>
      <c r="Y10" s="522"/>
      <c r="Z10" s="522"/>
      <c r="AA10" s="522"/>
      <c r="AB10" s="522"/>
    </row>
    <row r="11" spans="1:28" ht="38.25" x14ac:dyDescent="0.25">
      <c r="A11" s="646" t="s">
        <v>377</v>
      </c>
      <c r="B11" s="7">
        <f>IF(  AND(ISNUMBER(C11),OR(ISNUMBER(D11),D11="PG")),IF(IF(Capa!$B$6="B",0,Capa!$B$6)&gt;=C11,1,0),"")</f>
        <v>1</v>
      </c>
      <c r="C11" s="6">
        <f t="shared" si="1"/>
        <v>0</v>
      </c>
      <c r="D11" s="647" t="s">
        <v>54</v>
      </c>
      <c r="E11" s="389" t="s">
        <v>379</v>
      </c>
      <c r="F11" s="513"/>
      <c r="G11" s="468"/>
      <c r="H11" s="241"/>
      <c r="I11" s="29"/>
      <c r="J11" s="239"/>
      <c r="K11" s="471"/>
      <c r="L11" s="697"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76"/>
      <c r="X11" s="522"/>
      <c r="Y11" s="522"/>
      <c r="Z11" s="522"/>
      <c r="AA11" s="522"/>
      <c r="AB11" s="522"/>
    </row>
    <row r="12" spans="1:28" ht="45.6" customHeight="1" x14ac:dyDescent="0.25">
      <c r="A12" s="646" t="s">
        <v>377</v>
      </c>
      <c r="B12" s="7">
        <f>IF(  AND(ISNUMBER(C12),OR(ISNUMBER(D12),D12="PG")),IF(IF(Capa!$B$6="B",0,Capa!$B$6)&gt;=C12,1,0),"")</f>
        <v>1</v>
      </c>
      <c r="C12" s="6">
        <f t="shared" si="1"/>
        <v>0</v>
      </c>
      <c r="D12" s="647">
        <v>222</v>
      </c>
      <c r="E12" s="352" t="s">
        <v>380</v>
      </c>
      <c r="F12" s="513"/>
      <c r="G12" s="468"/>
      <c r="H12" s="241"/>
      <c r="I12" s="29"/>
      <c r="J12" s="425">
        <f t="shared" ref="J12:J19" si="2">LEN(K12)</f>
        <v>0</v>
      </c>
      <c r="K12" s="471"/>
      <c r="L12" s="697" t="str">
        <f t="shared" ref="L12:L19" si="3">IF(OR(I12="N",I12="P"),1,"")</f>
        <v/>
      </c>
      <c r="M12" s="719"/>
      <c r="N12" s="720"/>
      <c r="O12" s="720"/>
      <c r="P12" s="720"/>
      <c r="Q12" s="720"/>
      <c r="R12" s="720"/>
      <c r="S12" s="720"/>
      <c r="T12" s="721"/>
      <c r="U12" s="71"/>
      <c r="V12" s="464"/>
      <c r="W12" s="476"/>
      <c r="X12" s="522"/>
      <c r="Y12" s="522"/>
      <c r="Z12" s="522"/>
      <c r="AA12" s="522"/>
      <c r="AB12" s="522"/>
    </row>
    <row r="13" spans="1:28" ht="7.7" customHeight="1" x14ac:dyDescent="0.25">
      <c r="A13" s="646" t="s">
        <v>377</v>
      </c>
      <c r="B13" s="7" t="str">
        <f>IF(  AND(ISNUMBER(C13),OR(ISNUMBER(D13),D13="PG")),IF(IF(Capa!$B$6="B",0,Capa!$B$6)&gt;=C13,1,0),"")</f>
        <v/>
      </c>
      <c r="C13" s="6">
        <f t="shared" si="1"/>
        <v>2</v>
      </c>
      <c r="D13" s="647" t="s">
        <v>64</v>
      </c>
      <c r="E13" s="352"/>
      <c r="F13" s="513"/>
      <c r="G13" s="468"/>
      <c r="H13" s="241"/>
      <c r="I13" s="29"/>
      <c r="J13" s="425">
        <f t="shared" si="2"/>
        <v>0</v>
      </c>
      <c r="K13" s="471"/>
      <c r="L13" s="697" t="str">
        <f t="shared" si="3"/>
        <v/>
      </c>
      <c r="M13" s="719"/>
      <c r="N13" s="720"/>
      <c r="O13" s="720"/>
      <c r="P13" s="720"/>
      <c r="Q13" s="720"/>
      <c r="R13" s="720"/>
      <c r="S13" s="720"/>
      <c r="T13" s="721"/>
      <c r="U13" s="71"/>
      <c r="V13" s="464"/>
      <c r="W13" s="476"/>
      <c r="X13" s="522"/>
      <c r="Y13" s="522"/>
      <c r="Z13" s="522"/>
      <c r="AA13" s="522"/>
      <c r="AB13" s="522"/>
    </row>
    <row r="14" spans="1:28" ht="48.6" customHeight="1" x14ac:dyDescent="0.25">
      <c r="A14" s="646" t="s">
        <v>377</v>
      </c>
      <c r="B14" s="7">
        <f>IF(  AND(ISNUMBER(C14),OR(ISNUMBER(D14),D14="PG")),IF(IF(Capa!$B$6="B",0,Capa!$B$6)&gt;=C14,1,0),"")</f>
        <v>0</v>
      </c>
      <c r="C14" s="6">
        <f t="shared" si="1"/>
        <v>2</v>
      </c>
      <c r="D14" s="647">
        <v>223</v>
      </c>
      <c r="E14" s="352" t="s">
        <v>381</v>
      </c>
      <c r="F14" s="513"/>
      <c r="G14" s="468"/>
      <c r="H14" s="241"/>
      <c r="I14" s="29"/>
      <c r="J14" s="425">
        <f t="shared" si="2"/>
        <v>0</v>
      </c>
      <c r="K14" s="471"/>
      <c r="L14" s="697" t="str">
        <f t="shared" si="3"/>
        <v/>
      </c>
      <c r="M14" s="719"/>
      <c r="N14" s="720"/>
      <c r="O14" s="720"/>
      <c r="P14" s="720"/>
      <c r="Q14" s="720"/>
      <c r="R14" s="720"/>
      <c r="S14" s="720"/>
      <c r="T14" s="721"/>
      <c r="U14" s="71"/>
      <c r="V14" s="464"/>
      <c r="W14" s="476"/>
      <c r="X14" s="522"/>
      <c r="Y14" s="522"/>
      <c r="Z14" s="522"/>
      <c r="AA14" s="522"/>
      <c r="AB14" s="522"/>
    </row>
    <row r="15" spans="1:28" ht="30" x14ac:dyDescent="0.25">
      <c r="A15" s="646" t="s">
        <v>377</v>
      </c>
      <c r="B15" s="7">
        <f>IF(  AND(ISNUMBER(C15),OR(ISNUMBER(D15),D15="PG")),IF(IF(Capa!$B$6="B",0,Capa!$B$6)&gt;=C15,1,0),"")</f>
        <v>0</v>
      </c>
      <c r="C15" s="6">
        <f t="shared" si="1"/>
        <v>2</v>
      </c>
      <c r="D15" s="647">
        <v>224</v>
      </c>
      <c r="E15" s="352" t="s">
        <v>382</v>
      </c>
      <c r="F15" s="513"/>
      <c r="G15" s="468"/>
      <c r="H15" s="241"/>
      <c r="I15" s="29"/>
      <c r="J15" s="425">
        <f t="shared" si="2"/>
        <v>0</v>
      </c>
      <c r="K15" s="471"/>
      <c r="L15" s="697" t="str">
        <f t="shared" si="3"/>
        <v/>
      </c>
      <c r="M15" s="719"/>
      <c r="N15" s="720"/>
      <c r="O15" s="720"/>
      <c r="P15" s="720"/>
      <c r="Q15" s="720"/>
      <c r="R15" s="720"/>
      <c r="S15" s="720"/>
      <c r="T15" s="721"/>
      <c r="U15" s="71"/>
      <c r="V15" s="464"/>
      <c r="W15" s="476"/>
      <c r="X15" s="522"/>
      <c r="Y15" s="522"/>
      <c r="Z15" s="522"/>
      <c r="AA15" s="522"/>
      <c r="AB15" s="522"/>
    </row>
    <row r="16" spans="1:28" ht="5.45" customHeight="1" x14ac:dyDescent="0.25">
      <c r="A16" s="646" t="s">
        <v>377</v>
      </c>
      <c r="B16" s="7" t="str">
        <f>IF(  AND(ISNUMBER(C16),OR(ISNUMBER(D16),D16="PG")),IF(IF(Capa!$B$6="B",0,Capa!$B$6)&gt;=C16,1,0),"")</f>
        <v/>
      </c>
      <c r="C16" s="6">
        <f t="shared" si="1"/>
        <v>3</v>
      </c>
      <c r="D16" s="647" t="s">
        <v>70</v>
      </c>
      <c r="E16" s="352"/>
      <c r="F16" s="513"/>
      <c r="G16" s="468"/>
      <c r="H16" s="241"/>
      <c r="I16" s="29"/>
      <c r="J16" s="425">
        <f t="shared" si="2"/>
        <v>0</v>
      </c>
      <c r="K16" s="471"/>
      <c r="L16" s="697" t="str">
        <f t="shared" si="3"/>
        <v/>
      </c>
      <c r="M16" s="719"/>
      <c r="N16" s="720"/>
      <c r="O16" s="720"/>
      <c r="P16" s="720"/>
      <c r="Q16" s="720"/>
      <c r="R16" s="720"/>
      <c r="S16" s="720"/>
      <c r="T16" s="721"/>
      <c r="U16" s="71"/>
      <c r="V16" s="464"/>
      <c r="W16" s="476"/>
      <c r="X16" s="522"/>
      <c r="Y16" s="522"/>
      <c r="Z16" s="522"/>
      <c r="AA16" s="522"/>
      <c r="AB16" s="522"/>
    </row>
    <row r="17" spans="1:28" ht="60" x14ac:dyDescent="0.25">
      <c r="A17" s="646" t="s">
        <v>377</v>
      </c>
      <c r="B17" s="7">
        <f>IF(  AND(ISNUMBER(C17),OR(ISNUMBER(D17),D17="PG")),IF(IF(Capa!$B$6="B",0,Capa!$B$6)&gt;=C17,1,0),"")</f>
        <v>0</v>
      </c>
      <c r="C17" s="6">
        <f t="shared" si="1"/>
        <v>3</v>
      </c>
      <c r="D17" s="647">
        <v>225</v>
      </c>
      <c r="E17" s="352" t="s">
        <v>383</v>
      </c>
      <c r="F17" s="513"/>
      <c r="G17" s="468"/>
      <c r="H17" s="241"/>
      <c r="I17" s="29"/>
      <c r="J17" s="425">
        <f t="shared" si="2"/>
        <v>0</v>
      </c>
      <c r="K17" s="471"/>
      <c r="L17" s="697" t="str">
        <f t="shared" si="3"/>
        <v/>
      </c>
      <c r="M17" s="719"/>
      <c r="N17" s="720"/>
      <c r="O17" s="720"/>
      <c r="P17" s="720"/>
      <c r="Q17" s="720"/>
      <c r="R17" s="720"/>
      <c r="S17" s="720"/>
      <c r="T17" s="721"/>
      <c r="U17" s="71"/>
      <c r="V17" s="464"/>
      <c r="W17" s="476"/>
      <c r="X17" s="522"/>
      <c r="Y17" s="522"/>
      <c r="Z17" s="522"/>
      <c r="AA17" s="522"/>
      <c r="AB17" s="522"/>
    </row>
    <row r="18" spans="1:28" ht="48" customHeight="1" x14ac:dyDescent="0.25">
      <c r="A18" s="646" t="s">
        <v>377</v>
      </c>
      <c r="B18" s="7">
        <f>IF(  AND(ISNUMBER(C18),OR(ISNUMBER(D18),D18="PG")),IF(IF(Capa!$B$6="B",0,Capa!$B$6)&gt;=C18,1,0),"")</f>
        <v>0</v>
      </c>
      <c r="C18" s="6">
        <f t="shared" si="1"/>
        <v>3</v>
      </c>
      <c r="D18" s="647">
        <v>226</v>
      </c>
      <c r="E18" s="352" t="s">
        <v>384</v>
      </c>
      <c r="F18" s="513"/>
      <c r="G18" s="468"/>
      <c r="H18" s="241"/>
      <c r="I18" s="29"/>
      <c r="J18" s="425">
        <f t="shared" si="2"/>
        <v>0</v>
      </c>
      <c r="K18" s="471"/>
      <c r="L18" s="697" t="str">
        <f t="shared" si="3"/>
        <v/>
      </c>
      <c r="M18" s="719"/>
      <c r="N18" s="720"/>
      <c r="O18" s="720"/>
      <c r="P18" s="720"/>
      <c r="Q18" s="720"/>
      <c r="R18" s="720"/>
      <c r="S18" s="720"/>
      <c r="T18" s="721"/>
      <c r="U18" s="71"/>
      <c r="V18" s="464"/>
      <c r="W18" s="476"/>
      <c r="X18" s="522"/>
      <c r="Y18" s="522"/>
      <c r="Z18" s="522"/>
      <c r="AA18" s="522"/>
      <c r="AB18" s="522"/>
    </row>
    <row r="19" spans="1:28" ht="33" customHeight="1" x14ac:dyDescent="0.25">
      <c r="A19" s="646" t="s">
        <v>377</v>
      </c>
      <c r="B19" s="7">
        <f>IF(  AND(ISNUMBER(C19),OR(ISNUMBER(D19),D19="PG")),IF(IF(Capa!$B$6="B",0,Capa!$B$6)&gt;=C19,1,0),"")</f>
        <v>0</v>
      </c>
      <c r="C19" s="6">
        <f t="shared" si="1"/>
        <v>3</v>
      </c>
      <c r="D19" s="647">
        <v>227</v>
      </c>
      <c r="E19" s="411" t="s">
        <v>385</v>
      </c>
      <c r="F19" s="513"/>
      <c r="G19" s="468"/>
      <c r="H19" s="241"/>
      <c r="I19" s="29"/>
      <c r="J19" s="425">
        <f t="shared" si="2"/>
        <v>0</v>
      </c>
      <c r="K19" s="471"/>
      <c r="L19" s="697" t="str">
        <f t="shared" si="3"/>
        <v/>
      </c>
      <c r="M19" s="719"/>
      <c r="N19" s="720"/>
      <c r="O19" s="720"/>
      <c r="P19" s="720"/>
      <c r="Q19" s="720"/>
      <c r="R19" s="720"/>
      <c r="S19" s="720"/>
      <c r="T19" s="721"/>
      <c r="U19" s="71"/>
      <c r="V19" s="464"/>
      <c r="W19" s="476"/>
      <c r="X19" s="522"/>
      <c r="Y19" s="522"/>
      <c r="Z19" s="522"/>
      <c r="AA19" s="522"/>
      <c r="AB19" s="522"/>
    </row>
    <row r="20" spans="1:28" ht="6.6" customHeight="1" x14ac:dyDescent="0.25">
      <c r="B20" s="7" t="str">
        <f>IF(  AND(ISNUMBER(C20),OR(ISNUMBER(D20),D20="PG")),IF(IF(Capa!$B$6="B",0,Capa!$B$6)&gt;=C20,1,0),"")</f>
        <v/>
      </c>
      <c r="C20" s="6" t="str">
        <f t="shared" si="1"/>
        <v/>
      </c>
      <c r="D20" s="128"/>
      <c r="E20" s="291"/>
      <c r="F20" s="123"/>
      <c r="G20" s="227"/>
      <c r="H20" s="227"/>
      <c r="I20" s="123"/>
      <c r="J20" s="227"/>
      <c r="K20" s="694"/>
      <c r="L20" s="227"/>
      <c r="M20" s="124"/>
      <c r="N20" s="124"/>
      <c r="O20" s="124"/>
      <c r="P20" s="124"/>
      <c r="Q20" s="124"/>
      <c r="R20" s="124"/>
      <c r="S20" s="251"/>
      <c r="T20" s="251"/>
      <c r="U20" s="260"/>
      <c r="V20" s="523"/>
      <c r="W20" s="134"/>
      <c r="X20" s="522"/>
      <c r="Y20" s="522"/>
      <c r="Z20" s="522"/>
      <c r="AA20" s="522"/>
      <c r="AB20" s="522"/>
    </row>
    <row r="21" spans="1:28" x14ac:dyDescent="0.25">
      <c r="A21" s="210" t="s">
        <v>386</v>
      </c>
      <c r="B21" s="7" t="str">
        <f>IF(  AND(ISNUMBER(C21),OR(ISNUMBER(D21),D21="PG")),IF(IF(Capa!$B$6="B",0,Capa!$B$6)&gt;=C21,1,0),"")</f>
        <v/>
      </c>
      <c r="C21" s="6" t="str">
        <f t="shared" si="1"/>
        <v/>
      </c>
      <c r="D21" s="15"/>
      <c r="E21" s="395" t="s">
        <v>387</v>
      </c>
      <c r="F21" s="517"/>
      <c r="G21" s="532"/>
      <c r="H21" s="219"/>
      <c r="I21" s="23"/>
      <c r="J21" s="219"/>
      <c r="K21" s="528"/>
      <c r="L21" s="383">
        <f>IF(AND($B23=1,D23="PG"),IF(COUNTIFS($A$1:$A$230,"="&amp;$A21,$B$1:$B$230,"&gt;0",$D$1:$D$230,"&gt;0")&gt;0,
        (COUNTIFS($A$1:$A$230,"="&amp;$A21,$B$1:$B$230,"&gt;0",$D$1:$D$230,"&gt;0",F$1:F$230,"=S",I$1:I$230,"") +
         (COUNTIFS($A$1:$A$230,"="&amp;$A21,$B$1:$B$230,"&gt;0",$D$1:$D$230,"&gt;0",$F$1:$F$230,"=P",I$1:I$230,"")/2) +
         COUNTIFS($A$1:$A$230,"="&amp;$A21,$B$1:$B$230,"&gt;0",$D$1:$D$230,"&gt;0",I$1:I$230,"=S") +
         (COUNTIFS($A$1:$A$230,"="&amp;$A21,$B$1:$B$230,"&gt;0",$D$1:$D$230,"&gt;0",I$1:I$230,"=P")/2)
         )/COUNTIFS($A$1:$A$230,"="&amp;$A21,$B$1:$B$230,"&gt;0",$D$1:$D$230,"&gt;0"),1),"")</f>
        <v>0</v>
      </c>
      <c r="M21" s="380"/>
      <c r="N21" s="70"/>
      <c r="O21" s="68"/>
      <c r="P21" s="68"/>
      <c r="Q21" s="83">
        <f>IF(L21="","",MIN(IF(ISBLANK(Q23),0,Q23),IF(L21&gt;0.9,4,IF(L21&gt;0.5,3,IF(L21&gt;0.3,2,IF(OR(L21&gt;0,Q23&gt;0),1,0))))))</f>
        <v>0</v>
      </c>
      <c r="R21" s="70"/>
      <c r="S21" s="260"/>
      <c r="T21" s="260"/>
      <c r="U21" s="260"/>
      <c r="V21" s="524"/>
      <c r="W21" s="583"/>
      <c r="X21" s="579"/>
      <c r="Y21" s="579"/>
      <c r="Z21" s="579"/>
      <c r="AA21" s="579"/>
      <c r="AB21" s="579"/>
    </row>
    <row r="22" spans="1:28" ht="6" customHeight="1" x14ac:dyDescent="0.25">
      <c r="A22" s="210" t="s">
        <v>386</v>
      </c>
      <c r="B22" s="7" t="str">
        <f>IF(  AND(ISNUMBER(C22),OR(ISNUMBER(D22),D22="PG")),IF(IF(Capa!$B$6="B",0,Capa!$B$6)&gt;=C22,1,0),"")</f>
        <v/>
      </c>
      <c r="C22" s="6">
        <f t="shared" si="1"/>
        <v>0</v>
      </c>
      <c r="D22" s="18" t="s">
        <v>53</v>
      </c>
      <c r="E22" s="394"/>
      <c r="F22" s="516"/>
      <c r="G22" s="533"/>
      <c r="H22" s="239"/>
      <c r="I22" s="26"/>
      <c r="J22" s="239"/>
      <c r="K22" s="529"/>
      <c r="L22" s="240"/>
      <c r="M22" s="69"/>
      <c r="N22" s="69"/>
      <c r="O22" s="69"/>
      <c r="P22" s="69"/>
      <c r="Q22" s="69"/>
      <c r="R22" s="69"/>
      <c r="S22" s="261"/>
      <c r="T22" s="261"/>
      <c r="U22" s="303"/>
      <c r="V22" s="526"/>
      <c r="W22" s="585"/>
      <c r="X22" s="522"/>
      <c r="Y22" s="522"/>
      <c r="Z22" s="522"/>
      <c r="AA22" s="522"/>
      <c r="AB22" s="522"/>
    </row>
    <row r="23" spans="1:28" ht="60.95" customHeight="1" x14ac:dyDescent="0.25">
      <c r="A23" s="646" t="s">
        <v>386</v>
      </c>
      <c r="B23" s="7">
        <f>IF(  AND(ISNUMBER(C23),OR(ISNUMBER(D23),D23="PG")),IF(IF(Capa!$B$6="B",0,Capa!$B$6)&gt;=C23,1,0),"")</f>
        <v>1</v>
      </c>
      <c r="C23" s="6">
        <f t="shared" si="1"/>
        <v>0</v>
      </c>
      <c r="D23" s="647" t="s">
        <v>54</v>
      </c>
      <c r="E23" s="389" t="s">
        <v>388</v>
      </c>
      <c r="F23" s="513"/>
      <c r="G23" s="468"/>
      <c r="H23" s="241"/>
      <c r="I23" s="29"/>
      <c r="J23" s="239"/>
      <c r="K23" s="471"/>
      <c r="L23" s="697" t="str">
        <f>IF(OR(AND(NOT(ISBLANK(M23)),M23&lt;IF(Capa!$B$6&lt;&gt;"B",Capa!$B$6+1,1)),AND(NOT(ISBLANK(N23)),N23&lt;IF(Capa!$B$6&lt;&gt;"B",Capa!$B$6+1,1)),AND(NOT(ISBLANK(O23)),O23&lt;IF(Capa!$B$6&lt;&gt;"B",Capa!$B$6+1,1)),AND(NOT(ISBLANK(Q23)),Q23&lt;IF(Capa!$B$6&lt;&gt;"B",Capa!$B$6+1,1)),AND(NOT(ISBLANK(R23)),R23&lt;IF(Capa!$B$6&lt;&gt;"B",Capa!$B$6+1,1)),AND(NOT(ISBLANK(S23)),S23&lt;IF(Capa!$B$6&lt;&gt;"B",Capa!$B$6+1,1))),1,"")</f>
        <v/>
      </c>
      <c r="M23" s="81"/>
      <c r="N23" s="81"/>
      <c r="O23" s="81"/>
      <c r="P23" s="81"/>
      <c r="Q23" s="81"/>
      <c r="R23" s="81"/>
      <c r="S23" s="81"/>
      <c r="T23" s="81"/>
      <c r="U23" s="58"/>
      <c r="V23" s="464"/>
      <c r="W23" s="476"/>
      <c r="X23" s="666"/>
      <c r="Y23" s="522"/>
      <c r="Z23" s="522"/>
      <c r="AA23" s="522"/>
      <c r="AB23" s="522"/>
    </row>
    <row r="24" spans="1:28" ht="79.7" customHeight="1" x14ac:dyDescent="0.25">
      <c r="A24" s="646" t="s">
        <v>386</v>
      </c>
      <c r="B24" s="7">
        <f>IF(  AND(ISNUMBER(C24),OR(ISNUMBER(D24),D24="PG")),IF(IF(Capa!$B$6="B",0,Capa!$B$6)&gt;=C24,1,0),"")</f>
        <v>1</v>
      </c>
      <c r="C24" s="6">
        <f t="shared" si="1"/>
        <v>0</v>
      </c>
      <c r="D24" s="647">
        <v>228</v>
      </c>
      <c r="E24" s="352" t="s">
        <v>389</v>
      </c>
      <c r="F24" s="513"/>
      <c r="G24" s="468"/>
      <c r="H24" s="241"/>
      <c r="I24" s="29"/>
      <c r="J24" s="425">
        <f t="shared" ref="J24:J40" si="4">LEN(K24)</f>
        <v>0</v>
      </c>
      <c r="K24" s="471"/>
      <c r="L24" s="697" t="str">
        <f t="shared" ref="L24:L40" si="5">IF(OR(I24="N",I24="P"),1,"")</f>
        <v/>
      </c>
      <c r="M24" s="719"/>
      <c r="N24" s="720"/>
      <c r="O24" s="720"/>
      <c r="P24" s="720"/>
      <c r="Q24" s="720"/>
      <c r="R24" s="720"/>
      <c r="S24" s="720"/>
      <c r="T24" s="721"/>
      <c r="U24" s="71"/>
      <c r="V24" s="464"/>
      <c r="W24" s="476"/>
      <c r="X24" s="522"/>
      <c r="Y24" s="522"/>
      <c r="Z24" s="522"/>
      <c r="AA24" s="522"/>
      <c r="AB24" s="522"/>
    </row>
    <row r="25" spans="1:28" ht="65.45" customHeight="1" x14ac:dyDescent="0.25">
      <c r="A25" s="646" t="s">
        <v>386</v>
      </c>
      <c r="B25" s="7">
        <f>IF(  AND(ISNUMBER(C25),OR(ISNUMBER(D25),D25="PG")),IF(IF(Capa!$B$6="B",0,Capa!$B$6)&gt;=C25,1,0),"")</f>
        <v>1</v>
      </c>
      <c r="C25" s="6">
        <f t="shared" si="1"/>
        <v>0</v>
      </c>
      <c r="D25" s="647">
        <v>229</v>
      </c>
      <c r="E25" s="352" t="s">
        <v>390</v>
      </c>
      <c r="F25" s="513"/>
      <c r="G25" s="468"/>
      <c r="H25" s="241"/>
      <c r="I25" s="29"/>
      <c r="J25" s="425">
        <f t="shared" si="4"/>
        <v>0</v>
      </c>
      <c r="K25" s="471"/>
      <c r="L25" s="697" t="str">
        <f t="shared" si="5"/>
        <v/>
      </c>
      <c r="M25" s="719"/>
      <c r="N25" s="720"/>
      <c r="O25" s="720"/>
      <c r="P25" s="720"/>
      <c r="Q25" s="720"/>
      <c r="R25" s="720"/>
      <c r="S25" s="720"/>
      <c r="T25" s="721"/>
      <c r="U25" s="71"/>
      <c r="V25" s="464"/>
      <c r="W25" s="476"/>
      <c r="X25" s="522"/>
      <c r="Y25" s="522"/>
      <c r="Z25" s="522"/>
      <c r="AA25" s="522"/>
      <c r="AB25" s="522"/>
    </row>
    <row r="26" spans="1:28" ht="59.45" customHeight="1" x14ac:dyDescent="0.25">
      <c r="A26" s="646" t="s">
        <v>386</v>
      </c>
      <c r="B26" s="7">
        <f>IF(  AND(ISNUMBER(C26),OR(ISNUMBER(D26),D26="PG")),IF(IF(Capa!$B$6="B",0,Capa!$B$6)&gt;=C26,1,0),"")</f>
        <v>1</v>
      </c>
      <c r="C26" s="6">
        <f t="shared" si="1"/>
        <v>0</v>
      </c>
      <c r="D26" s="647">
        <v>230</v>
      </c>
      <c r="E26" s="352" t="s">
        <v>391</v>
      </c>
      <c r="F26" s="513"/>
      <c r="G26" s="468"/>
      <c r="H26" s="241"/>
      <c r="I26" s="29"/>
      <c r="J26" s="425">
        <f t="shared" si="4"/>
        <v>0</v>
      </c>
      <c r="K26" s="471"/>
      <c r="L26" s="697" t="str">
        <f t="shared" si="5"/>
        <v/>
      </c>
      <c r="M26" s="719"/>
      <c r="N26" s="720"/>
      <c r="O26" s="720"/>
      <c r="P26" s="720"/>
      <c r="Q26" s="720"/>
      <c r="R26" s="720"/>
      <c r="S26" s="720"/>
      <c r="T26" s="721"/>
      <c r="U26" s="71"/>
      <c r="V26" s="464"/>
      <c r="W26" s="476"/>
      <c r="X26" s="522"/>
      <c r="Y26" s="522"/>
      <c r="Z26" s="522"/>
      <c r="AA26" s="522"/>
      <c r="AB26" s="522"/>
    </row>
    <row r="27" spans="1:28" ht="50.45" customHeight="1" x14ac:dyDescent="0.25">
      <c r="A27" s="646" t="s">
        <v>386</v>
      </c>
      <c r="B27" s="7">
        <f>IF(  AND(ISNUMBER(C27),OR(ISNUMBER(D27),D27="PG")),IF(IF(Capa!$B$6="B",0,Capa!$B$6)&gt;=C27,1,0),"")</f>
        <v>1</v>
      </c>
      <c r="C27" s="6">
        <f t="shared" si="1"/>
        <v>0</v>
      </c>
      <c r="D27" s="647">
        <v>231</v>
      </c>
      <c r="E27" s="352" t="s">
        <v>392</v>
      </c>
      <c r="F27" s="513"/>
      <c r="G27" s="468"/>
      <c r="H27" s="241"/>
      <c r="I27" s="29"/>
      <c r="J27" s="425">
        <f t="shared" si="4"/>
        <v>0</v>
      </c>
      <c r="K27" s="471"/>
      <c r="L27" s="697" t="str">
        <f t="shared" si="5"/>
        <v/>
      </c>
      <c r="M27" s="719"/>
      <c r="N27" s="720"/>
      <c r="O27" s="720"/>
      <c r="P27" s="720"/>
      <c r="Q27" s="720"/>
      <c r="R27" s="720"/>
      <c r="S27" s="720"/>
      <c r="T27" s="721"/>
      <c r="U27" s="71"/>
      <c r="V27" s="464"/>
      <c r="W27" s="476"/>
      <c r="X27" s="522"/>
      <c r="Y27" s="522"/>
      <c r="Z27" s="522"/>
      <c r="AA27" s="522"/>
      <c r="AB27" s="522"/>
    </row>
    <row r="28" spans="1:28" ht="9" customHeight="1" x14ac:dyDescent="0.25">
      <c r="A28" s="646" t="s">
        <v>386</v>
      </c>
      <c r="B28" s="7" t="str">
        <f>IF(  AND(ISNUMBER(C28),OR(ISNUMBER(D28),D28="PG")),IF(IF(Capa!$B$6="B",0,Capa!$B$6)&gt;=C28,1,0),"")</f>
        <v/>
      </c>
      <c r="C28" s="6">
        <f t="shared" si="1"/>
        <v>1</v>
      </c>
      <c r="D28" s="647" t="s">
        <v>62</v>
      </c>
      <c r="E28" s="352"/>
      <c r="F28" s="513"/>
      <c r="G28" s="468"/>
      <c r="H28" s="241"/>
      <c r="I28" s="29"/>
      <c r="J28" s="425">
        <f t="shared" si="4"/>
        <v>0</v>
      </c>
      <c r="K28" s="471"/>
      <c r="L28" s="697" t="str">
        <f t="shared" si="5"/>
        <v/>
      </c>
      <c r="M28" s="719"/>
      <c r="N28" s="720"/>
      <c r="O28" s="720"/>
      <c r="P28" s="720"/>
      <c r="Q28" s="720"/>
      <c r="R28" s="720"/>
      <c r="S28" s="720"/>
      <c r="T28" s="721"/>
      <c r="U28" s="71"/>
      <c r="V28" s="464"/>
      <c r="W28" s="476"/>
      <c r="X28" s="522"/>
      <c r="Y28" s="522"/>
      <c r="Z28" s="522"/>
      <c r="AA28" s="522"/>
      <c r="AB28" s="522"/>
    </row>
    <row r="29" spans="1:28" ht="31.35" customHeight="1" x14ac:dyDescent="0.25">
      <c r="A29" s="646" t="s">
        <v>386</v>
      </c>
      <c r="B29" s="7">
        <f>IF(  AND(ISNUMBER(C29),OR(ISNUMBER(D29),D29="PG")),IF(IF(Capa!$B$6="B",0,Capa!$B$6)&gt;=C29,1,0),"")</f>
        <v>0</v>
      </c>
      <c r="C29" s="6">
        <f t="shared" si="1"/>
        <v>1</v>
      </c>
      <c r="D29" s="647">
        <v>232</v>
      </c>
      <c r="E29" s="352" t="s">
        <v>393</v>
      </c>
      <c r="F29" s="513"/>
      <c r="G29" s="468"/>
      <c r="H29" s="241"/>
      <c r="I29" s="29"/>
      <c r="J29" s="425">
        <f t="shared" si="4"/>
        <v>0</v>
      </c>
      <c r="K29" s="471"/>
      <c r="L29" s="697" t="str">
        <f t="shared" si="5"/>
        <v/>
      </c>
      <c r="M29" s="719"/>
      <c r="N29" s="720"/>
      <c r="O29" s="720"/>
      <c r="P29" s="720"/>
      <c r="Q29" s="720"/>
      <c r="R29" s="720"/>
      <c r="S29" s="720"/>
      <c r="T29" s="721"/>
      <c r="U29" s="71"/>
      <c r="V29" s="464"/>
      <c r="W29" s="476"/>
      <c r="X29" s="522"/>
      <c r="Y29" s="522"/>
      <c r="Z29" s="522"/>
      <c r="AA29" s="522"/>
      <c r="AB29" s="522"/>
    </row>
    <row r="30" spans="1:28" ht="60" x14ac:dyDescent="0.25">
      <c r="A30" s="646" t="s">
        <v>386</v>
      </c>
      <c r="B30" s="7">
        <f>IF(  AND(ISNUMBER(C30),OR(ISNUMBER(D30),D30="PG")),IF(IF(Capa!$B$6="B",0,Capa!$B$6)&gt;=C30,1,0),"")</f>
        <v>0</v>
      </c>
      <c r="C30" s="6">
        <f t="shared" si="1"/>
        <v>1</v>
      </c>
      <c r="D30" s="647">
        <v>233</v>
      </c>
      <c r="E30" s="352" t="s">
        <v>394</v>
      </c>
      <c r="F30" s="513"/>
      <c r="G30" s="468"/>
      <c r="H30" s="241"/>
      <c r="I30" s="29"/>
      <c r="J30" s="425">
        <f t="shared" si="4"/>
        <v>0</v>
      </c>
      <c r="K30" s="471"/>
      <c r="L30" s="697" t="str">
        <f t="shared" si="5"/>
        <v/>
      </c>
      <c r="M30" s="719"/>
      <c r="N30" s="720"/>
      <c r="O30" s="720"/>
      <c r="P30" s="720"/>
      <c r="Q30" s="720"/>
      <c r="R30" s="720"/>
      <c r="S30" s="720"/>
      <c r="T30" s="721"/>
      <c r="U30" s="71"/>
      <c r="V30" s="464"/>
      <c r="W30" s="476"/>
      <c r="X30" s="522"/>
      <c r="Y30" s="522"/>
      <c r="Z30" s="522"/>
      <c r="AA30" s="522"/>
      <c r="AB30" s="522"/>
    </row>
    <row r="31" spans="1:28" ht="9.6" customHeight="1" x14ac:dyDescent="0.25">
      <c r="A31" s="646" t="s">
        <v>386</v>
      </c>
      <c r="B31" s="7" t="str">
        <f>IF(  AND(ISNUMBER(C31),OR(ISNUMBER(D31),D31="PG")),IF(IF(Capa!$B$6="B",0,Capa!$B$6)&gt;=C31,1,0),"")</f>
        <v/>
      </c>
      <c r="C31" s="6">
        <f t="shared" si="1"/>
        <v>2</v>
      </c>
      <c r="D31" s="647" t="s">
        <v>64</v>
      </c>
      <c r="E31" s="352"/>
      <c r="F31" s="513"/>
      <c r="G31" s="468"/>
      <c r="H31" s="241"/>
      <c r="I31" s="29"/>
      <c r="J31" s="425">
        <f t="shared" si="4"/>
        <v>0</v>
      </c>
      <c r="K31" s="471"/>
      <c r="L31" s="697" t="str">
        <f t="shared" si="5"/>
        <v/>
      </c>
      <c r="M31" s="719"/>
      <c r="N31" s="720"/>
      <c r="O31" s="720"/>
      <c r="P31" s="720"/>
      <c r="Q31" s="720"/>
      <c r="R31" s="720"/>
      <c r="S31" s="720"/>
      <c r="T31" s="721"/>
      <c r="U31" s="71"/>
      <c r="V31" s="464"/>
      <c r="W31" s="476"/>
      <c r="X31" s="522"/>
      <c r="Y31" s="522"/>
      <c r="Z31" s="522"/>
      <c r="AA31" s="522"/>
      <c r="AB31" s="522"/>
    </row>
    <row r="32" spans="1:28" ht="77.45" customHeight="1" x14ac:dyDescent="0.25">
      <c r="A32" s="646" t="s">
        <v>386</v>
      </c>
      <c r="B32" s="7">
        <f>IF(  AND(ISNUMBER(C32),OR(ISNUMBER(D32),D32="PG")),IF(IF(Capa!$B$6="B",0,Capa!$B$6)&gt;=C32,1,0),"")</f>
        <v>0</v>
      </c>
      <c r="C32" s="6">
        <f t="shared" si="1"/>
        <v>2</v>
      </c>
      <c r="D32" s="647">
        <v>234</v>
      </c>
      <c r="E32" s="352" t="s">
        <v>395</v>
      </c>
      <c r="F32" s="513"/>
      <c r="G32" s="468"/>
      <c r="H32" s="241"/>
      <c r="I32" s="29"/>
      <c r="J32" s="425">
        <f t="shared" si="4"/>
        <v>0</v>
      </c>
      <c r="K32" s="471"/>
      <c r="L32" s="697" t="str">
        <f t="shared" si="5"/>
        <v/>
      </c>
      <c r="M32" s="719"/>
      <c r="N32" s="720"/>
      <c r="O32" s="720"/>
      <c r="P32" s="720"/>
      <c r="Q32" s="720"/>
      <c r="R32" s="720"/>
      <c r="S32" s="720"/>
      <c r="T32" s="721"/>
      <c r="U32" s="71"/>
      <c r="V32" s="464"/>
      <c r="W32" s="476"/>
      <c r="X32" s="666"/>
      <c r="Y32" s="522"/>
      <c r="Z32" s="522"/>
      <c r="AA32" s="522"/>
      <c r="AB32" s="522"/>
    </row>
    <row r="33" spans="1:28" ht="63" customHeight="1" x14ac:dyDescent="0.25">
      <c r="A33" s="646" t="s">
        <v>386</v>
      </c>
      <c r="B33" s="7">
        <f>IF(  AND(ISNUMBER(C33),OR(ISNUMBER(D33),D33="PG")),IF(IF(Capa!$B$6="B",0,Capa!$B$6)&gt;=C33,1,0),"")</f>
        <v>0</v>
      </c>
      <c r="C33" s="6">
        <f t="shared" si="1"/>
        <v>2</v>
      </c>
      <c r="D33" s="647">
        <v>235</v>
      </c>
      <c r="E33" s="352" t="s">
        <v>396</v>
      </c>
      <c r="F33" s="513"/>
      <c r="G33" s="468"/>
      <c r="H33" s="241"/>
      <c r="I33" s="29"/>
      <c r="J33" s="425">
        <f t="shared" si="4"/>
        <v>0</v>
      </c>
      <c r="K33" s="471"/>
      <c r="L33" s="697" t="str">
        <f t="shared" si="5"/>
        <v/>
      </c>
      <c r="M33" s="719"/>
      <c r="N33" s="720"/>
      <c r="O33" s="720"/>
      <c r="P33" s="720"/>
      <c r="Q33" s="720"/>
      <c r="R33" s="720"/>
      <c r="S33" s="720"/>
      <c r="T33" s="721"/>
      <c r="U33" s="71"/>
      <c r="V33" s="464"/>
      <c r="W33" s="476"/>
      <c r="X33" s="522"/>
      <c r="Y33" s="522"/>
      <c r="Z33" s="522"/>
      <c r="AA33" s="522"/>
      <c r="AB33" s="522"/>
    </row>
    <row r="34" spans="1:28" ht="45" x14ac:dyDescent="0.25">
      <c r="A34" s="646" t="s">
        <v>386</v>
      </c>
      <c r="B34" s="7">
        <f>IF(  AND(ISNUMBER(C34),OR(ISNUMBER(D34),D34="PG")),IF(IF(Capa!$B$6="B",0,Capa!$B$6)&gt;=C34,1,0),"")</f>
        <v>0</v>
      </c>
      <c r="C34" s="6">
        <f t="shared" si="1"/>
        <v>2</v>
      </c>
      <c r="D34" s="647">
        <v>236</v>
      </c>
      <c r="E34" s="352" t="s">
        <v>397</v>
      </c>
      <c r="F34" s="513"/>
      <c r="G34" s="468"/>
      <c r="H34" s="241"/>
      <c r="I34" s="29"/>
      <c r="J34" s="425">
        <f t="shared" si="4"/>
        <v>0</v>
      </c>
      <c r="K34" s="471"/>
      <c r="L34" s="697" t="str">
        <f t="shared" si="5"/>
        <v/>
      </c>
      <c r="M34" s="719"/>
      <c r="N34" s="720"/>
      <c r="O34" s="720"/>
      <c r="P34" s="720"/>
      <c r="Q34" s="720"/>
      <c r="R34" s="720"/>
      <c r="S34" s="720"/>
      <c r="T34" s="721"/>
      <c r="U34" s="71"/>
      <c r="V34" s="464"/>
      <c r="W34" s="476"/>
      <c r="X34" s="522"/>
      <c r="Y34" s="522"/>
      <c r="Z34" s="522"/>
      <c r="AA34" s="522"/>
      <c r="AB34" s="522"/>
    </row>
    <row r="35" spans="1:28" ht="45" x14ac:dyDescent="0.25">
      <c r="A35" s="646" t="s">
        <v>386</v>
      </c>
      <c r="B35" s="7">
        <f>IF(  AND(ISNUMBER(C35),OR(ISNUMBER(D35),D35="PG")),IF(IF(Capa!$B$6="B",0,Capa!$B$6)&gt;=C35,1,0),"")</f>
        <v>0</v>
      </c>
      <c r="C35" s="6">
        <f t="shared" si="1"/>
        <v>2</v>
      </c>
      <c r="D35" s="647">
        <v>237</v>
      </c>
      <c r="E35" s="352" t="s">
        <v>398</v>
      </c>
      <c r="F35" s="513"/>
      <c r="G35" s="468"/>
      <c r="H35" s="241"/>
      <c r="I35" s="29"/>
      <c r="J35" s="425">
        <f t="shared" si="4"/>
        <v>0</v>
      </c>
      <c r="K35" s="471"/>
      <c r="L35" s="697" t="str">
        <f t="shared" si="5"/>
        <v/>
      </c>
      <c r="M35" s="719"/>
      <c r="N35" s="720"/>
      <c r="O35" s="720"/>
      <c r="P35" s="720"/>
      <c r="Q35" s="720"/>
      <c r="R35" s="720"/>
      <c r="S35" s="720"/>
      <c r="T35" s="721"/>
      <c r="U35" s="71"/>
      <c r="V35" s="464"/>
      <c r="W35" s="476"/>
      <c r="X35" s="666"/>
      <c r="Y35" s="522"/>
      <c r="Z35" s="522"/>
      <c r="AA35" s="522"/>
      <c r="AB35" s="522"/>
    </row>
    <row r="36" spans="1:28" ht="7.35" customHeight="1" x14ac:dyDescent="0.25">
      <c r="A36" s="646" t="s">
        <v>386</v>
      </c>
      <c r="B36" s="7" t="str">
        <f>IF(  AND(ISNUMBER(C36),OR(ISNUMBER(D36),D36="PG")),IF(IF(Capa!$B$6="B",0,Capa!$B$6)&gt;=C36,1,0),"")</f>
        <v/>
      </c>
      <c r="C36" s="6">
        <f t="shared" si="1"/>
        <v>3</v>
      </c>
      <c r="D36" s="647" t="s">
        <v>70</v>
      </c>
      <c r="E36" s="352"/>
      <c r="F36" s="513"/>
      <c r="G36" s="468"/>
      <c r="H36" s="241"/>
      <c r="I36" s="29"/>
      <c r="J36" s="425">
        <f t="shared" si="4"/>
        <v>0</v>
      </c>
      <c r="K36" s="471"/>
      <c r="L36" s="697" t="str">
        <f t="shared" si="5"/>
        <v/>
      </c>
      <c r="M36" s="719"/>
      <c r="N36" s="720"/>
      <c r="O36" s="720"/>
      <c r="P36" s="720"/>
      <c r="Q36" s="720"/>
      <c r="R36" s="720"/>
      <c r="S36" s="720"/>
      <c r="T36" s="721"/>
      <c r="U36" s="71"/>
      <c r="V36" s="464"/>
      <c r="W36" s="476"/>
      <c r="X36" s="522"/>
      <c r="Y36" s="522"/>
      <c r="Z36" s="522"/>
      <c r="AA36" s="522"/>
      <c r="AB36" s="522"/>
    </row>
    <row r="37" spans="1:28" ht="64.349999999999994" customHeight="1" x14ac:dyDescent="0.25">
      <c r="A37" s="646" t="s">
        <v>386</v>
      </c>
      <c r="B37" s="7">
        <f>IF(  AND(ISNUMBER(C37),OR(ISNUMBER(D37),D37="PG")),IF(IF(Capa!$B$6="B",0,Capa!$B$6)&gt;=C37,1,0),"")</f>
        <v>0</v>
      </c>
      <c r="C37" s="6">
        <f t="shared" si="1"/>
        <v>3</v>
      </c>
      <c r="D37" s="647">
        <v>238</v>
      </c>
      <c r="E37" s="352" t="s">
        <v>399</v>
      </c>
      <c r="F37" s="513"/>
      <c r="G37" s="468"/>
      <c r="H37" s="241"/>
      <c r="I37" s="29"/>
      <c r="J37" s="425">
        <f t="shared" si="4"/>
        <v>0</v>
      </c>
      <c r="K37" s="471"/>
      <c r="L37" s="697" t="str">
        <f t="shared" si="5"/>
        <v/>
      </c>
      <c r="M37" s="719"/>
      <c r="N37" s="720"/>
      <c r="O37" s="720"/>
      <c r="P37" s="720"/>
      <c r="Q37" s="720"/>
      <c r="R37" s="720"/>
      <c r="S37" s="720"/>
      <c r="T37" s="721"/>
      <c r="U37" s="71"/>
      <c r="V37" s="464"/>
      <c r="W37" s="476"/>
      <c r="X37" s="522"/>
      <c r="Y37" s="522"/>
      <c r="Z37" s="522"/>
      <c r="AA37" s="522"/>
      <c r="AB37" s="522"/>
    </row>
    <row r="38" spans="1:28" ht="60" x14ac:dyDescent="0.25">
      <c r="A38" s="646" t="s">
        <v>386</v>
      </c>
      <c r="B38" s="7">
        <f>IF(  AND(ISNUMBER(C38),OR(ISNUMBER(D38),D38="PG")),IF(IF(Capa!$B$6="B",0,Capa!$B$6)&gt;=C38,1,0),"")</f>
        <v>0</v>
      </c>
      <c r="C38" s="6">
        <f t="shared" si="1"/>
        <v>3</v>
      </c>
      <c r="D38" s="647">
        <v>239</v>
      </c>
      <c r="E38" s="352" t="s">
        <v>400</v>
      </c>
      <c r="F38" s="513"/>
      <c r="G38" s="468"/>
      <c r="H38" s="241"/>
      <c r="I38" s="29"/>
      <c r="J38" s="425">
        <f t="shared" si="4"/>
        <v>0</v>
      </c>
      <c r="K38" s="471"/>
      <c r="L38" s="697" t="str">
        <f t="shared" si="5"/>
        <v/>
      </c>
      <c r="M38" s="719"/>
      <c r="N38" s="720"/>
      <c r="O38" s="720"/>
      <c r="P38" s="720"/>
      <c r="Q38" s="720"/>
      <c r="R38" s="720"/>
      <c r="S38" s="720"/>
      <c r="T38" s="721"/>
      <c r="U38" s="71"/>
      <c r="V38" s="464"/>
      <c r="W38" s="476"/>
      <c r="X38" s="522"/>
      <c r="Y38" s="522"/>
      <c r="Z38" s="522"/>
      <c r="AA38" s="522"/>
      <c r="AB38" s="522"/>
    </row>
    <row r="39" spans="1:28" ht="30" x14ac:dyDescent="0.25">
      <c r="A39" s="646" t="s">
        <v>386</v>
      </c>
      <c r="B39" s="7">
        <f>IF(  AND(ISNUMBER(C39),OR(ISNUMBER(D39),D39="PG")),IF(IF(Capa!$B$6="B",0,Capa!$B$6)&gt;=C39,1,0),"")</f>
        <v>0</v>
      </c>
      <c r="C39" s="6">
        <f t="shared" si="1"/>
        <v>3</v>
      </c>
      <c r="D39" s="647">
        <v>240</v>
      </c>
      <c r="E39" s="411" t="s">
        <v>401</v>
      </c>
      <c r="F39" s="513"/>
      <c r="G39" s="468"/>
      <c r="H39" s="241"/>
      <c r="I39" s="29"/>
      <c r="J39" s="425">
        <f t="shared" si="4"/>
        <v>0</v>
      </c>
      <c r="K39" s="471"/>
      <c r="L39" s="697" t="str">
        <f t="shared" si="5"/>
        <v/>
      </c>
      <c r="M39" s="719"/>
      <c r="N39" s="720"/>
      <c r="O39" s="720"/>
      <c r="P39" s="720"/>
      <c r="Q39" s="720"/>
      <c r="R39" s="720"/>
      <c r="S39" s="720"/>
      <c r="T39" s="721"/>
      <c r="U39" s="71"/>
      <c r="V39" s="464"/>
      <c r="W39" s="476"/>
      <c r="X39" s="522"/>
      <c r="Y39" s="522"/>
      <c r="Z39" s="522"/>
      <c r="AA39" s="522"/>
      <c r="AB39" s="522"/>
    </row>
    <row r="40" spans="1:28" ht="30" x14ac:dyDescent="0.25">
      <c r="A40" s="646" t="s">
        <v>386</v>
      </c>
      <c r="B40" s="7">
        <f>IF(  AND(ISNUMBER(C40),OR(ISNUMBER(D40),D40="PG")),IF(IF(Capa!$B$6="B",0,Capa!$B$6)&gt;=C40,1,0),"")</f>
        <v>0</v>
      </c>
      <c r="C40" s="6">
        <f t="shared" si="1"/>
        <v>3</v>
      </c>
      <c r="D40" s="647">
        <v>241</v>
      </c>
      <c r="E40" s="412" t="s">
        <v>402</v>
      </c>
      <c r="F40" s="513"/>
      <c r="G40" s="468"/>
      <c r="H40" s="241"/>
      <c r="I40" s="29"/>
      <c r="J40" s="425">
        <f t="shared" si="4"/>
        <v>0</v>
      </c>
      <c r="K40" s="471"/>
      <c r="L40" s="697" t="str">
        <f t="shared" si="5"/>
        <v/>
      </c>
      <c r="M40" s="719"/>
      <c r="N40" s="720"/>
      <c r="O40" s="720"/>
      <c r="P40" s="720"/>
      <c r="Q40" s="720"/>
      <c r="R40" s="720"/>
      <c r="S40" s="720"/>
      <c r="T40" s="721"/>
      <c r="U40" s="71"/>
      <c r="V40" s="464"/>
      <c r="W40" s="477"/>
      <c r="X40" s="522"/>
      <c r="Y40" s="522"/>
      <c r="Z40" s="522"/>
      <c r="AA40" s="522"/>
      <c r="AB40" s="522"/>
    </row>
    <row r="41" spans="1:28" ht="6.6" customHeight="1" x14ac:dyDescent="0.25">
      <c r="B41" s="7" t="str">
        <f>IF(  AND(ISNUMBER(C41),OR(ISNUMBER(D41),D41="PG")),IF(IF(Capa!$B$6="B",0,Capa!$B$6)&gt;=C41,1,0),"")</f>
        <v/>
      </c>
      <c r="C41" s="6" t="str">
        <f t="shared" si="1"/>
        <v/>
      </c>
      <c r="D41" s="128"/>
      <c r="E41" s="291"/>
      <c r="F41" s="123"/>
      <c r="G41" s="227"/>
      <c r="H41" s="227"/>
      <c r="I41" s="123"/>
      <c r="J41" s="227"/>
      <c r="K41" s="694"/>
      <c r="L41" s="227"/>
      <c r="M41" s="124"/>
      <c r="N41" s="124"/>
      <c r="O41" s="124"/>
      <c r="P41" s="124"/>
      <c r="Q41" s="124"/>
      <c r="R41" s="124"/>
      <c r="S41" s="251"/>
      <c r="T41" s="251"/>
      <c r="U41" s="260"/>
      <c r="V41" s="523"/>
      <c r="W41" s="134"/>
      <c r="X41" s="522"/>
      <c r="Y41" s="522"/>
      <c r="Z41" s="522"/>
      <c r="AA41" s="522"/>
      <c r="AB41" s="522"/>
    </row>
    <row r="42" spans="1:28" x14ac:dyDescent="0.25">
      <c r="A42" s="210" t="s">
        <v>403</v>
      </c>
      <c r="B42" s="7" t="str">
        <f>IF(  AND(ISNUMBER(C42),OR(ISNUMBER(D42),D42="PG")),IF(IF(Capa!$B$6="B",0,Capa!$B$6)&gt;=C42,1,0),"")</f>
        <v/>
      </c>
      <c r="C42" s="6" t="str">
        <f t="shared" si="1"/>
        <v/>
      </c>
      <c r="D42" s="15"/>
      <c r="E42" s="395" t="s">
        <v>404</v>
      </c>
      <c r="F42" s="381">
        <f>IF(COUNTIFS($A$1:$A$230,"="&amp;A42&amp;"?",$B$1:$B$230,"&gt;0",$D$1:$D$230,"&gt;0")&gt;0,(COUNTIFS($A$1:$A$230,"="&amp;A42&amp;"?",$B$1:$B$230,"&gt;0",$D$1:$D$230,"&gt;0",F$1:F$230,"=S")+COUNTIFS($A$1:$A$230,"="&amp;A42&amp;"?",$B$1:$B$230,"&gt;0",$D$1:$D$230,"&gt;0",$F$1:$F$230,"=P")+COUNTIFS($A$1:$A$230,"="&amp;A42&amp;"?",$B$1:$B$230,"&gt;0",$D$1:$D$230,"&gt;0",F$1:F$230,"=N")+COUNTIFS($A$1:$A$230,"="&amp;A42&amp;"?",$B$1:$B$230,"&gt;0",$D$1:$D$230,"&gt;0",F$1:F$230,"=NA"))/COUNTIFS($A$1:$A$230,"="&amp;A42&amp;"?",$B$1:$B$230,"&gt;0",$D$1:$D$230,"&gt;0"),0)</f>
        <v>0</v>
      </c>
      <c r="G42" s="534"/>
      <c r="H42" s="232"/>
      <c r="I42" s="381">
        <f>IF(COUNTIFS($A$1:$A$230,"="&amp;A42&amp;"?",$B$1:$B$230,"&gt;0",$D$1:$D$230,"&gt;0")&gt;0,
        (COUNTIFS($A$1:$A$230,"="&amp;A42&amp;"?",$B$1:$B$230,"&gt;0",$D$1:$D$230,"&gt;0",F$1:F$230,"=S",I$1:I$230,"") +
         (COUNTIFS($A$1:$A$230,"="&amp;A42&amp;"?",$B$1:$B$230,"&gt;0",$D$1:$D$230,"&gt;0",$F$1:$F$230,"=P",I$1:I$230,"")/2) +
         COUNTIFS($A$1:$A$230,"="&amp;A42&amp;"?",$B$1:$B$230,"&gt;0",$D$1:$D$230,"&gt;0",I$1:I$230,"=S") +
         (COUNTIFS($A$1:$A$230,"="&amp;A42&amp;"?",$B$1:$B$230,"&gt;0",$D$1:$D$230,"&gt;0",I$1:I$230,"=P")/2)
         )/COUNTIFS($A$1:$A$230,"="&amp;A42&amp;"?",$B$1:$B$230,"&gt;0",$D$1:$D$230,"&gt;0"),0)</f>
        <v>0</v>
      </c>
      <c r="J42" s="219"/>
      <c r="K42" s="528"/>
      <c r="L42" s="219"/>
      <c r="M42" s="722">
        <f>(M43*20+N43*10+O43*10+Q43*30+R43*15+S43*15)/100</f>
        <v>0</v>
      </c>
      <c r="N42" s="723"/>
      <c r="O42" s="723"/>
      <c r="P42" s="723"/>
      <c r="Q42" s="723"/>
      <c r="R42" s="723"/>
      <c r="S42" s="723"/>
      <c r="T42" s="724"/>
      <c r="U42" s="450"/>
      <c r="V42" s="524"/>
      <c r="W42" s="583"/>
      <c r="X42" s="579"/>
      <c r="Y42" s="579"/>
      <c r="Z42" s="579"/>
      <c r="AA42" s="579"/>
      <c r="AB42" s="579"/>
    </row>
    <row r="43" spans="1:28" ht="17.850000000000001" customHeight="1" x14ac:dyDescent="0.25">
      <c r="A43" s="210" t="s">
        <v>403</v>
      </c>
      <c r="B43" s="7" t="str">
        <f>IF(  AND(ISNUMBER(C43),OR(ISNUMBER(D43),D43="PG")),IF(IF(Capa!$B$6="B",0,Capa!$B$6)&gt;=C43,1,0),"")</f>
        <v/>
      </c>
      <c r="C43" s="6" t="str">
        <f t="shared" si="1"/>
        <v/>
      </c>
      <c r="D43" s="110"/>
      <c r="E43" s="393">
        <f>IF(SUMIFS($B$1:$B$230,$A$1:$A$230,"="&amp;A42&amp;"?",B$1:B$230,"&gt;0")&lt;=0,0,COUNTIFS($F$1:$F$230,"*",$A$1:$A$230,"="&amp;A42&amp;"?",B$1:B$230,"&gt;0")/SUMIFS($B$1:$B$230,$A$1:$A$230,"="&amp;A42&amp;"?",B$1:B$230,"&gt;0"))</f>
        <v>0</v>
      </c>
      <c r="F43" s="521"/>
      <c r="G43" s="535"/>
      <c r="H43" s="239"/>
      <c r="I43" s="28"/>
      <c r="J43" s="239"/>
      <c r="K43" s="530"/>
      <c r="L43" s="240"/>
      <c r="M43" s="100">
        <f>(COUNTIFS($A$1:$A$230,"="&amp;$A42&amp;"?",$B$1:$B$230,"&gt;0",$D$1:$D$230,"=PG",M$1:M$230,"=1")*(IF(Capa!$B$6="B",100,IF(Capa!$B$6=1,50,IF(Capa!$B$6=2,33,25))))+COUNTIFS($A$1:$A$230,"="&amp;$A42&amp;"?",$B$1:$B$230,"&gt;0",$D$1:$D$230,"=PG",M$1:M$230,"=2")*(IF(Capa!$B$6="B",100,IF(Capa!$B$6=1,100,IF(Capa!$B$6=2,67,50))))+COUNTIFS($A$1:$A$230,"="&amp;$A42&amp;"?",$B$1:$B$230,"&gt;0",$D$1:$D$230,"=PG",M$1:M$230,"=3")*(IF(Capa!$B$6="B",100,IF(Capa!$B$6=1,100,IF(Capa!$B$6=2,100,75))))+COUNTIFS($A$1:$A$230,"="&amp;$A42&amp;"?",$B$1:$B$230,"&gt;0",$D$1:$D$230,"=PG",M$1:M$230,"=4")*100)/(COUNTIFS($A$1:$A$230,"="&amp;$A42&amp;"?",$B$1:$B$230,"&gt;0",$D$1:$D$230,"=PG")*100)</f>
        <v>0</v>
      </c>
      <c r="N43" s="100">
        <f>(COUNTIFS($A$1:$A$230,"="&amp;$A42&amp;"?",$B$1:$B$230,"&gt;0",$D$1:$D$230,"=PG",N$1:N$230,"=1")*(IF(Capa!$B$6="B",100,IF(Capa!$B$6=1,50,IF(Capa!$B$6=2,33,25))))+COUNTIFS($A$1:$A$230,"="&amp;$A42&amp;"?",$B$1:$B$230,"&gt;0",$D$1:$D$230,"=PG",N$1:N$230,"=2")*(IF(Capa!$B$6="B",100,IF(Capa!$B$6=1,100,IF(Capa!$B$6=2,67,50))))+COUNTIFS($A$1:$A$230,"="&amp;$A42&amp;"?",$B$1:$B$230,"&gt;0",$D$1:$D$230,"=PG",N$1:N$230,"=3")*(IF(Capa!$B$6="B",100,IF(Capa!$B$6=1,100,IF(Capa!$B$6=2,100,75))))+COUNTIFS($A$1:$A$230,"="&amp;$A42&amp;"?",$B$1:$B$230,"&gt;0",$D$1:$D$230,"=PG",N$1:N$230,"=4")*100)/(COUNTIFS($A$1:$A$230,"="&amp;$A42&amp;"?",$B$1:$B$230,"&gt;0",$D$1:$D$230,"=PG")*100)</f>
        <v>0</v>
      </c>
      <c r="O43" s="100">
        <f>(COUNTIFS($A$1:$A$230,"="&amp;$A42&amp;"?",$B$1:$B$230,"&gt;0",$D$1:$D$230,"=PG",O$1:O$230,"=1")*(IF(Capa!$B$6="B",100,IF(Capa!$B$6=1,50,IF(Capa!$B$6=2,33,25))))+COUNTIFS($A$1:$A$230,"="&amp;$A42&amp;"?",$B$1:$B$230,"&gt;0",$D$1:$D$230,"=PG",O$1:O$230,"=2")*(IF(Capa!$B$6="B",100,IF(Capa!$B$6=1,100,IF(Capa!$B$6=2,67,50))))+COUNTIFS($A$1:$A$230,"="&amp;$A42&amp;"?",$B$1:$B$230,"&gt;0",$D$1:$D$230,"=PG",O$1:O$230,"=3")*(IF(Capa!$B$6="B",100,IF(Capa!$B$6=1,100,IF(Capa!$B$6=2,100,75))))+COUNTIFS($A$1:$A$230,"="&amp;$A42&amp;"?",$B$1:$B$230,"&gt;0",$D$1:$D$230,"=PG",O$1:O$230,"=4")*100)/(COUNTIFS($A$1:$A$230,"="&amp;$A42&amp;"?",$B$1:$B$230,"&gt;0",$D$1:$D$230,"=PG")*100)</f>
        <v>0</v>
      </c>
      <c r="P43" s="414">
        <f>P46+P62</f>
        <v>0</v>
      </c>
      <c r="Q43" s="100">
        <f>(COUNTIFS($A$1:$A$230,"="&amp;$A42&amp;"?",$B$1:$B$230,"",$L$1:$L$230,"&gt;=0",Q$1:Q$230,"=1")*(IF(Capa!$B$6="B",100,IF(Capa!$B$6=1,50,IF(Capa!$B$6=2,33,25))))+COUNTIFS($A$1:$A$230,"="&amp;$A42&amp;"?",$B$1:$B$230,"",$L$1:$L$230,"&gt;=0",Q$1:Q$230,"=2")*(IF(Capa!$B$6="B",100,IF(Capa!$B$6=1,100,IF(Capa!$B$6=2,67,50))))+COUNTIFS($A$1:$A$230,"="&amp;$A42&amp;"?",$B$1:$B$230,"",$L$1:$L$230,"&gt;=0",Q$1:Q$230,"=3")*(IF(Capa!$B$6="B",100,IF(Capa!$B$6=1,100,IF(Capa!$B$6=2,100,75))))+COUNTIFS($A$1:$A$230,"="&amp;$A42&amp;"?",$B$1:$B$230,"",$L$1:$L$230,"&gt;=0",Q$1:Q$230,"=4")*100)/(COUNTIFS($A$1:$A$230,"="&amp;$A42&amp;"?",$B$1:$B$230,"",$L$1:$L$230,"&gt;=0")*100)</f>
        <v>0</v>
      </c>
      <c r="R43" s="100">
        <f>(COUNTIFS($A$1:$A$230,"="&amp;$A42&amp;"?",$B$1:$B$230,"&gt;0",$D$1:$D$230,"=PG",R$1:R$230,"=1")*(IF(Capa!$B$6="B",100,IF(Capa!$B$6=1,50,IF(Capa!$B$6=2,33,25))))+COUNTIFS($A$1:$A$230,"="&amp;$A42&amp;"?",$B$1:$B$230,"&gt;0",$D$1:$D$230,"=PG",R$1:R$230,"=2")*(IF(Capa!$B$6="B",100,IF(Capa!$B$6=1,100,IF(Capa!$B$6=2,67,50))))+COUNTIFS($A$1:$A$230,"="&amp;$A42&amp;"?",$B$1:$B$230,"&gt;0",$D$1:$D$230,"=PG",R$1:R$230,"=3")*(IF(Capa!$B$6="B",100,IF(Capa!$B$6=1,100,IF(Capa!$B$6=2,100,75))))+COUNTIFS($A$1:$A$230,"="&amp;$A42&amp;"?",$B$1:$B$230,"&gt;0",$D$1:$D$230,"=PG",R$1:R$230,"=4")*100)/(COUNTIFS($A$1:$A$230,"="&amp;$A42&amp;"?",$B$1:$B$230,"&gt;0",$D$1:$D$230,"=PG")*100)</f>
        <v>0</v>
      </c>
      <c r="S43" s="100">
        <f>(COUNTIFS($A$1:$A$230,"="&amp;$A42&amp;"?",$B$1:$B$230,"&gt;0",$D$1:$D$230,"=PG",S$1:S$230,"=1")*(IF(Capa!$B$6="B",100,IF(Capa!$B$6=1,50,IF(Capa!$B$6=2,33,25))))+COUNTIFS($A$1:$A$230,"="&amp;$A42&amp;"?",$B$1:$B$230,"&gt;0",$D$1:$D$230,"=PG",S$1:S$230,"=2")*(IF(Capa!$B$6="B",100,IF(Capa!$B$6=1,100,IF(Capa!$B$6=2,67,50))))+COUNTIFS($A$1:$A$230,"="&amp;$A42&amp;"?",$B$1:$B$230,"&gt;0",$D$1:$D$230,"=PG",S$1:S$230,"=3")*(IF(Capa!$B$6="B",100,IF(Capa!$B$6=1,100,IF(Capa!$B$6=2,100,75))))+COUNTIFS($A$1:$A$230,"="&amp;$A42&amp;"?",$B$1:$B$230,"&gt;0",$D$1:$D$230,"=PG",S$1:S$230,"=4")*100)/(COUNTIFS($A$1:$A$230,"="&amp;$A42&amp;"?",$B$1:$B$230,"&gt;0",$D$1:$D$230,"=PG")*100)</f>
        <v>0</v>
      </c>
      <c r="T43" s="414">
        <f>T46+T62</f>
        <v>0</v>
      </c>
      <c r="U43" s="453"/>
      <c r="V43" s="525"/>
      <c r="W43" s="584"/>
      <c r="X43" s="522"/>
      <c r="Y43" s="522"/>
      <c r="Z43" s="522"/>
      <c r="AA43" s="522"/>
      <c r="AB43" s="522"/>
    </row>
    <row r="44" spans="1:28" x14ac:dyDescent="0.25">
      <c r="A44" s="210" t="s">
        <v>405</v>
      </c>
      <c r="B44" s="7" t="str">
        <f>IF(  AND(ISNUMBER(C44),OR(ISNUMBER(D44),D44="PG")),IF(IF(Capa!$B$6="B",0,Capa!$B$6)&gt;=C44,1,0),"")</f>
        <v/>
      </c>
      <c r="C44" s="6" t="str">
        <f t="shared" si="1"/>
        <v/>
      </c>
      <c r="D44" s="15"/>
      <c r="E44" s="395" t="s">
        <v>406</v>
      </c>
      <c r="F44" s="517"/>
      <c r="G44" s="532"/>
      <c r="H44" s="219"/>
      <c r="I44" s="23"/>
      <c r="J44" s="219"/>
      <c r="K44" s="528"/>
      <c r="L44" s="383">
        <f>IF(AND($B46=1,D46="PG"),IF(COUNTIFS($A$1:$A$230,"="&amp;$A44,$B$1:$B$230,"&gt;0",$D$1:$D$230,"&gt;0")&gt;0,
        (COUNTIFS($A$1:$A$230,"="&amp;$A44,$B$1:$B$230,"&gt;0",$D$1:$D$230,"&gt;0",F$1:F$230,"=S",I$1:I$230,"") +
         (COUNTIFS($A$1:$A$230,"="&amp;$A44,$B$1:$B$230,"&gt;0",$D$1:$D$230,"&gt;0",$F$1:$F$230,"=P",I$1:I$230,"")/2) +
         COUNTIFS($A$1:$A$230,"="&amp;$A44,$B$1:$B$230,"&gt;0",$D$1:$D$230,"&gt;0",I$1:I$230,"=S") +
         (COUNTIFS($A$1:$A$230,"="&amp;$A44,$B$1:$B$230,"&gt;0",$D$1:$D$230,"&gt;0",I$1:I$230,"=P")/2)
         )/COUNTIFS($A$1:$A$230,"="&amp;$A44,$B$1:$B$230,"&gt;0",$D$1:$D$230,"&gt;0"),1),"")</f>
        <v>0</v>
      </c>
      <c r="M44" s="380"/>
      <c r="N44" s="70"/>
      <c r="O44" s="68"/>
      <c r="P44" s="68"/>
      <c r="Q44" s="83">
        <f>IF(L44="","",MIN(IF(ISBLANK(Q46),0,Q46),IF(L44&gt;0.9,4,IF(L44&gt;0.5,3,IF(L44&gt;0.3,2,IF(OR(L44&gt;0,Q46&gt;0),1,0))))))</f>
        <v>0</v>
      </c>
      <c r="R44" s="70"/>
      <c r="S44" s="260"/>
      <c r="T44" s="260"/>
      <c r="U44" s="260"/>
      <c r="V44" s="524"/>
      <c r="W44" s="583"/>
      <c r="X44" s="579"/>
      <c r="Y44" s="579"/>
      <c r="Z44" s="579"/>
      <c r="AA44" s="579"/>
      <c r="AB44" s="579"/>
    </row>
    <row r="45" spans="1:28" ht="4.7" customHeight="1" x14ac:dyDescent="0.25">
      <c r="A45" s="210" t="s">
        <v>405</v>
      </c>
      <c r="B45" s="7" t="str">
        <f>IF(  AND(ISNUMBER(C45),OR(ISNUMBER(D45),D45="PG")),IF(IF(Capa!$B$6="B",0,Capa!$B$6)&gt;=C45,1,0),"")</f>
        <v/>
      </c>
      <c r="C45" s="6">
        <f t="shared" si="1"/>
        <v>0</v>
      </c>
      <c r="D45" s="18" t="s">
        <v>53</v>
      </c>
      <c r="E45" s="394"/>
      <c r="F45" s="516"/>
      <c r="G45" s="533"/>
      <c r="H45" s="239"/>
      <c r="I45" s="27"/>
      <c r="J45" s="239"/>
      <c r="K45" s="529"/>
      <c r="L45" s="240"/>
      <c r="M45" s="72"/>
      <c r="N45" s="72"/>
      <c r="O45" s="72"/>
      <c r="P45" s="72"/>
      <c r="Q45" s="72"/>
      <c r="R45" s="72"/>
      <c r="S45" s="293"/>
      <c r="T45" s="293"/>
      <c r="U45" s="379"/>
      <c r="V45" s="527"/>
      <c r="W45" s="586"/>
      <c r="X45" s="522"/>
      <c r="Y45" s="522"/>
      <c r="Z45" s="522"/>
      <c r="AA45" s="522"/>
      <c r="AB45" s="522"/>
    </row>
    <row r="46" spans="1:28" ht="63.75" x14ac:dyDescent="0.25">
      <c r="A46" s="646" t="s">
        <v>405</v>
      </c>
      <c r="B46" s="7">
        <f>IF(  AND(ISNUMBER(C46),OR(ISNUMBER(D46),D46="PG")),IF(IF(Capa!$B$6="B",0,Capa!$B$6)&gt;=C46,1,0),"")</f>
        <v>1</v>
      </c>
      <c r="C46" s="6">
        <f t="shared" si="1"/>
        <v>0</v>
      </c>
      <c r="D46" s="647" t="s">
        <v>54</v>
      </c>
      <c r="E46" s="389" t="s">
        <v>407</v>
      </c>
      <c r="F46" s="513"/>
      <c r="G46" s="468"/>
      <c r="H46" s="241"/>
      <c r="I46" s="29"/>
      <c r="J46" s="239"/>
      <c r="K46" s="471"/>
      <c r="L46" s="697" t="str">
        <f>IF(OR(AND(NOT(ISBLANK(M46)),M46&lt;IF(Capa!$B$6&lt;&gt;"B",Capa!$B$6+1,1)),AND(NOT(ISBLANK(N46)),N46&lt;IF(Capa!$B$6&lt;&gt;"B",Capa!$B$6+1,1)),AND(NOT(ISBLANK(O46)),O46&lt;IF(Capa!$B$6&lt;&gt;"B",Capa!$B$6+1,1)),AND(NOT(ISBLANK(Q46)),Q46&lt;IF(Capa!$B$6&lt;&gt;"B",Capa!$B$6+1,1)),AND(NOT(ISBLANK(R46)),R46&lt;IF(Capa!$B$6&lt;&gt;"B",Capa!$B$6+1,1)),AND(NOT(ISBLANK(S46)),S46&lt;IF(Capa!$B$6&lt;&gt;"B",Capa!$B$6+1,1))),1,"")</f>
        <v/>
      </c>
      <c r="M46" s="81"/>
      <c r="N46" s="81"/>
      <c r="O46" s="81"/>
      <c r="P46" s="81"/>
      <c r="Q46" s="81"/>
      <c r="R46" s="81"/>
      <c r="S46" s="81"/>
      <c r="T46" s="81"/>
      <c r="U46" s="58"/>
      <c r="V46" s="464"/>
      <c r="W46" s="476"/>
      <c r="X46" s="666"/>
      <c r="Y46" s="522"/>
      <c r="Z46" s="522"/>
      <c r="AA46" s="522"/>
      <c r="AB46" s="522"/>
    </row>
    <row r="47" spans="1:28" ht="45" x14ac:dyDescent="0.25">
      <c r="A47" s="646" t="s">
        <v>405</v>
      </c>
      <c r="B47" s="7">
        <f>IF(  AND(ISNUMBER(C47),OR(ISNUMBER(D47),D47="PG")),IF(IF(Capa!$B$6="B",0,Capa!$B$6)&gt;=C47,1,0),"")</f>
        <v>1</v>
      </c>
      <c r="C47" s="6">
        <f t="shared" si="1"/>
        <v>0</v>
      </c>
      <c r="D47" s="647">
        <v>242</v>
      </c>
      <c r="E47" s="352" t="s">
        <v>408</v>
      </c>
      <c r="F47" s="513"/>
      <c r="G47" s="468"/>
      <c r="H47" s="241"/>
      <c r="I47" s="29"/>
      <c r="J47" s="425">
        <f t="shared" ref="J47:J58" si="6">LEN(K47)</f>
        <v>0</v>
      </c>
      <c r="K47" s="471"/>
      <c r="L47" s="697" t="str">
        <f t="shared" ref="L47:L58" si="7">IF(OR(I47="N",I47="P"),1,"")</f>
        <v/>
      </c>
      <c r="M47" s="719"/>
      <c r="N47" s="720"/>
      <c r="O47" s="720"/>
      <c r="P47" s="720"/>
      <c r="Q47" s="720"/>
      <c r="R47" s="720"/>
      <c r="S47" s="720"/>
      <c r="T47" s="721"/>
      <c r="U47" s="71"/>
      <c r="V47" s="464"/>
      <c r="W47" s="476"/>
      <c r="X47" s="522"/>
      <c r="Y47" s="522"/>
      <c r="Z47" s="522"/>
      <c r="AA47" s="522"/>
      <c r="AB47" s="522"/>
    </row>
    <row r="48" spans="1:28" ht="7.7" customHeight="1" x14ac:dyDescent="0.25">
      <c r="A48" s="646" t="s">
        <v>405</v>
      </c>
      <c r="B48" s="7" t="str">
        <f>IF(  AND(ISNUMBER(C48),OR(ISNUMBER(D48),D48="PG")),IF(IF(Capa!$B$6="B",0,Capa!$B$6)&gt;=C48,1,0),"")</f>
        <v/>
      </c>
      <c r="C48" s="6">
        <f t="shared" si="1"/>
        <v>1</v>
      </c>
      <c r="D48" s="647" t="s">
        <v>62</v>
      </c>
      <c r="E48" s="352"/>
      <c r="F48" s="513"/>
      <c r="G48" s="468"/>
      <c r="H48" s="241"/>
      <c r="I48" s="29"/>
      <c r="J48" s="425">
        <f t="shared" si="6"/>
        <v>0</v>
      </c>
      <c r="K48" s="471"/>
      <c r="L48" s="697" t="str">
        <f t="shared" si="7"/>
        <v/>
      </c>
      <c r="M48" s="719"/>
      <c r="N48" s="720"/>
      <c r="O48" s="720"/>
      <c r="P48" s="720"/>
      <c r="Q48" s="720"/>
      <c r="R48" s="720"/>
      <c r="S48" s="720"/>
      <c r="T48" s="721"/>
      <c r="U48" s="71"/>
      <c r="V48" s="464"/>
      <c r="W48" s="476"/>
      <c r="X48" s="522"/>
      <c r="Y48" s="522"/>
      <c r="Z48" s="522"/>
      <c r="AA48" s="522"/>
      <c r="AB48" s="522"/>
    </row>
    <row r="49" spans="1:28" ht="30" x14ac:dyDescent="0.25">
      <c r="A49" s="646" t="s">
        <v>405</v>
      </c>
      <c r="B49" s="7">
        <f>IF(  AND(ISNUMBER(C49),OR(ISNUMBER(D49),D49="PG")),IF(IF(Capa!$B$6="B",0,Capa!$B$6)&gt;=C49,1,0),"")</f>
        <v>0</v>
      </c>
      <c r="C49" s="6">
        <f t="shared" si="1"/>
        <v>1</v>
      </c>
      <c r="D49" s="647">
        <v>243</v>
      </c>
      <c r="E49" s="352" t="s">
        <v>409</v>
      </c>
      <c r="F49" s="513"/>
      <c r="G49" s="468"/>
      <c r="H49" s="241"/>
      <c r="I49" s="29"/>
      <c r="J49" s="425">
        <f t="shared" si="6"/>
        <v>0</v>
      </c>
      <c r="K49" s="471"/>
      <c r="L49" s="697" t="str">
        <f t="shared" si="7"/>
        <v/>
      </c>
      <c r="M49" s="719"/>
      <c r="N49" s="720"/>
      <c r="O49" s="720"/>
      <c r="P49" s="720"/>
      <c r="Q49" s="720"/>
      <c r="R49" s="720"/>
      <c r="S49" s="720"/>
      <c r="T49" s="721"/>
      <c r="U49" s="71"/>
      <c r="V49" s="464"/>
      <c r="W49" s="476"/>
      <c r="X49" s="522"/>
      <c r="Y49" s="522"/>
      <c r="Z49" s="522"/>
      <c r="AA49" s="522"/>
      <c r="AB49" s="522"/>
    </row>
    <row r="50" spans="1:28" ht="10.7" customHeight="1" x14ac:dyDescent="0.25">
      <c r="A50" s="646" t="s">
        <v>405</v>
      </c>
      <c r="B50" s="7" t="str">
        <f>IF(  AND(ISNUMBER(C50),OR(ISNUMBER(D50),D50="PG")),IF(IF(Capa!$B$6="B",0,Capa!$B$6)&gt;=C50,1,0),"")</f>
        <v/>
      </c>
      <c r="C50" s="6">
        <f t="shared" si="1"/>
        <v>2</v>
      </c>
      <c r="D50" s="647" t="s">
        <v>64</v>
      </c>
      <c r="E50" s="352"/>
      <c r="F50" s="513"/>
      <c r="G50" s="468"/>
      <c r="H50" s="241"/>
      <c r="I50" s="29"/>
      <c r="J50" s="425">
        <f t="shared" si="6"/>
        <v>0</v>
      </c>
      <c r="K50" s="471"/>
      <c r="L50" s="697" t="str">
        <f t="shared" si="7"/>
        <v/>
      </c>
      <c r="M50" s="719"/>
      <c r="N50" s="720"/>
      <c r="O50" s="720"/>
      <c r="P50" s="720"/>
      <c r="Q50" s="720"/>
      <c r="R50" s="720"/>
      <c r="S50" s="720"/>
      <c r="T50" s="721"/>
      <c r="U50" s="71"/>
      <c r="V50" s="464"/>
      <c r="W50" s="476"/>
      <c r="X50" s="522"/>
      <c r="Y50" s="522"/>
      <c r="Z50" s="522"/>
      <c r="AA50" s="522"/>
      <c r="AB50" s="522"/>
    </row>
    <row r="51" spans="1:28" ht="75" x14ac:dyDescent="0.25">
      <c r="A51" s="646" t="s">
        <v>405</v>
      </c>
      <c r="B51" s="7">
        <f>IF(  AND(ISNUMBER(C51),OR(ISNUMBER(D51),D51="PG")),IF(IF(Capa!$B$6="B",0,Capa!$B$6)&gt;=C51,1,0),"")</f>
        <v>0</v>
      </c>
      <c r="C51" s="6">
        <f t="shared" si="1"/>
        <v>2</v>
      </c>
      <c r="D51" s="647">
        <v>244</v>
      </c>
      <c r="E51" s="352" t="s">
        <v>410</v>
      </c>
      <c r="F51" s="513"/>
      <c r="G51" s="468"/>
      <c r="H51" s="241"/>
      <c r="I51" s="29"/>
      <c r="J51" s="425">
        <f t="shared" si="6"/>
        <v>0</v>
      </c>
      <c r="K51" s="471"/>
      <c r="L51" s="697" t="str">
        <f t="shared" si="7"/>
        <v/>
      </c>
      <c r="M51" s="719"/>
      <c r="N51" s="720"/>
      <c r="O51" s="720"/>
      <c r="P51" s="720"/>
      <c r="Q51" s="720"/>
      <c r="R51" s="720"/>
      <c r="S51" s="720"/>
      <c r="T51" s="721"/>
      <c r="U51" s="71"/>
      <c r="V51" s="464"/>
      <c r="W51" s="476"/>
      <c r="X51" s="522"/>
      <c r="Y51" s="522"/>
      <c r="Z51" s="522"/>
      <c r="AA51" s="522"/>
      <c r="AB51" s="522"/>
    </row>
    <row r="52" spans="1:28" ht="60" x14ac:dyDescent="0.25">
      <c r="A52" s="646" t="s">
        <v>405</v>
      </c>
      <c r="B52" s="7">
        <f>IF(  AND(ISNUMBER(C52),OR(ISNUMBER(D52),D52="PG")),IF(IF(Capa!$B$6="B",0,Capa!$B$6)&gt;=C52,1,0),"")</f>
        <v>0</v>
      </c>
      <c r="C52" s="6">
        <f t="shared" si="1"/>
        <v>2</v>
      </c>
      <c r="D52" s="647">
        <v>245</v>
      </c>
      <c r="E52" s="352" t="s">
        <v>411</v>
      </c>
      <c r="F52" s="513"/>
      <c r="G52" s="468"/>
      <c r="H52" s="241"/>
      <c r="I52" s="29"/>
      <c r="J52" s="425">
        <f t="shared" si="6"/>
        <v>0</v>
      </c>
      <c r="K52" s="471"/>
      <c r="L52" s="697" t="str">
        <f t="shared" si="7"/>
        <v/>
      </c>
      <c r="M52" s="719"/>
      <c r="N52" s="720"/>
      <c r="O52" s="720"/>
      <c r="P52" s="720"/>
      <c r="Q52" s="720"/>
      <c r="R52" s="720"/>
      <c r="S52" s="720"/>
      <c r="T52" s="721"/>
      <c r="U52" s="71"/>
      <c r="V52" s="464"/>
      <c r="W52" s="476"/>
      <c r="X52" s="666"/>
      <c r="Y52" s="522"/>
      <c r="Z52" s="522"/>
      <c r="AA52" s="522"/>
      <c r="AB52" s="522"/>
    </row>
    <row r="53" spans="1:28" ht="30" x14ac:dyDescent="0.25">
      <c r="A53" s="646" t="s">
        <v>405</v>
      </c>
      <c r="B53" s="7">
        <f>IF(  AND(ISNUMBER(C53),OR(ISNUMBER(D53),D53="PG")),IF(IF(Capa!$B$6="B",0,Capa!$B$6)&gt;=C53,1,0),"")</f>
        <v>0</v>
      </c>
      <c r="C53" s="6">
        <f t="shared" si="1"/>
        <v>2</v>
      </c>
      <c r="D53" s="647">
        <v>246</v>
      </c>
      <c r="E53" s="352" t="s">
        <v>412</v>
      </c>
      <c r="F53" s="513"/>
      <c r="G53" s="468"/>
      <c r="H53" s="241"/>
      <c r="I53" s="29"/>
      <c r="J53" s="425">
        <f t="shared" si="6"/>
        <v>0</v>
      </c>
      <c r="K53" s="471"/>
      <c r="L53" s="697" t="str">
        <f t="shared" si="7"/>
        <v/>
      </c>
      <c r="M53" s="719"/>
      <c r="N53" s="720"/>
      <c r="O53" s="720"/>
      <c r="P53" s="720"/>
      <c r="Q53" s="720"/>
      <c r="R53" s="720"/>
      <c r="S53" s="720"/>
      <c r="T53" s="721"/>
      <c r="U53" s="71"/>
      <c r="V53" s="464"/>
      <c r="W53" s="476"/>
      <c r="X53" s="522"/>
      <c r="Y53" s="522"/>
      <c r="Z53" s="522"/>
      <c r="AA53" s="522"/>
      <c r="AB53" s="522"/>
    </row>
    <row r="54" spans="1:28" ht="9.6" customHeight="1" x14ac:dyDescent="0.25">
      <c r="A54" s="646" t="s">
        <v>405</v>
      </c>
      <c r="B54" s="7" t="str">
        <f>IF(  AND(ISNUMBER(C54),OR(ISNUMBER(D54),D54="PG")),IF(IF(Capa!$B$6="B",0,Capa!$B$6)&gt;=C54,1,0),"")</f>
        <v/>
      </c>
      <c r="C54" s="6">
        <f t="shared" si="1"/>
        <v>3</v>
      </c>
      <c r="D54" s="647" t="s">
        <v>70</v>
      </c>
      <c r="E54" s="352"/>
      <c r="F54" s="513"/>
      <c r="G54" s="468"/>
      <c r="H54" s="241"/>
      <c r="I54" s="29"/>
      <c r="J54" s="425">
        <f t="shared" si="6"/>
        <v>0</v>
      </c>
      <c r="K54" s="471"/>
      <c r="L54" s="697" t="str">
        <f t="shared" si="7"/>
        <v/>
      </c>
      <c r="M54" s="719"/>
      <c r="N54" s="720"/>
      <c r="O54" s="720"/>
      <c r="P54" s="720"/>
      <c r="Q54" s="720"/>
      <c r="R54" s="720"/>
      <c r="S54" s="720"/>
      <c r="T54" s="721"/>
      <c r="U54" s="71"/>
      <c r="V54" s="464"/>
      <c r="W54" s="476"/>
      <c r="X54" s="522"/>
      <c r="Y54" s="522"/>
      <c r="Z54" s="522"/>
      <c r="AA54" s="522"/>
      <c r="AB54" s="522"/>
    </row>
    <row r="55" spans="1:28" ht="45" x14ac:dyDescent="0.25">
      <c r="A55" s="646" t="s">
        <v>405</v>
      </c>
      <c r="B55" s="7">
        <f>IF(  AND(ISNUMBER(C55),OR(ISNUMBER(D55),D55="PG")),IF(IF(Capa!$B$6="B",0,Capa!$B$6)&gt;=C55,1,0),"")</f>
        <v>0</v>
      </c>
      <c r="C55" s="6">
        <f t="shared" si="1"/>
        <v>3</v>
      </c>
      <c r="D55" s="647">
        <v>247</v>
      </c>
      <c r="E55" s="352" t="s">
        <v>413</v>
      </c>
      <c r="F55" s="513"/>
      <c r="G55" s="468"/>
      <c r="H55" s="241"/>
      <c r="I55" s="29"/>
      <c r="J55" s="425">
        <f t="shared" si="6"/>
        <v>0</v>
      </c>
      <c r="K55" s="471"/>
      <c r="L55" s="697" t="str">
        <f t="shared" si="7"/>
        <v/>
      </c>
      <c r="M55" s="719"/>
      <c r="N55" s="720"/>
      <c r="O55" s="720"/>
      <c r="P55" s="720"/>
      <c r="Q55" s="720"/>
      <c r="R55" s="720"/>
      <c r="S55" s="720"/>
      <c r="T55" s="721"/>
      <c r="U55" s="71"/>
      <c r="V55" s="464"/>
      <c r="W55" s="476"/>
      <c r="X55" s="522"/>
      <c r="Y55" s="522"/>
      <c r="Z55" s="522"/>
      <c r="AA55" s="522"/>
      <c r="AB55" s="522"/>
    </row>
    <row r="56" spans="1:28" ht="30" x14ac:dyDescent="0.25">
      <c r="A56" s="646" t="s">
        <v>405</v>
      </c>
      <c r="B56" s="7">
        <f>IF(  AND(ISNUMBER(C56),OR(ISNUMBER(D56),D56="PG")),IF(IF(Capa!$B$6="B",0,Capa!$B$6)&gt;=C56,1,0),"")</f>
        <v>0</v>
      </c>
      <c r="C56" s="6">
        <f t="shared" si="1"/>
        <v>3</v>
      </c>
      <c r="D56" s="647">
        <v>248</v>
      </c>
      <c r="E56" s="352" t="s">
        <v>414</v>
      </c>
      <c r="F56" s="513"/>
      <c r="G56" s="468"/>
      <c r="H56" s="241"/>
      <c r="I56" s="29"/>
      <c r="J56" s="425">
        <f t="shared" si="6"/>
        <v>0</v>
      </c>
      <c r="K56" s="471"/>
      <c r="L56" s="697" t="str">
        <f t="shared" si="7"/>
        <v/>
      </c>
      <c r="M56" s="719"/>
      <c r="N56" s="720"/>
      <c r="O56" s="720"/>
      <c r="P56" s="720"/>
      <c r="Q56" s="720"/>
      <c r="R56" s="720"/>
      <c r="S56" s="720"/>
      <c r="T56" s="721"/>
      <c r="U56" s="71"/>
      <c r="V56" s="464"/>
      <c r="W56" s="476"/>
      <c r="X56" s="522"/>
      <c r="Y56" s="522"/>
      <c r="Z56" s="522"/>
      <c r="AA56" s="522"/>
      <c r="AB56" s="522"/>
    </row>
    <row r="57" spans="1:28" ht="75" x14ac:dyDescent="0.25">
      <c r="A57" s="646" t="s">
        <v>405</v>
      </c>
      <c r="B57" s="7">
        <f>IF(  AND(ISNUMBER(C57),OR(ISNUMBER(D57),D57="PG")),IF(IF(Capa!$B$6="B",0,Capa!$B$6)&gt;=C57,1,0),"")</f>
        <v>0</v>
      </c>
      <c r="C57" s="6">
        <f t="shared" si="1"/>
        <v>3</v>
      </c>
      <c r="D57" s="647">
        <v>249</v>
      </c>
      <c r="E57" s="352" t="s">
        <v>415</v>
      </c>
      <c r="F57" s="513"/>
      <c r="G57" s="468"/>
      <c r="H57" s="241"/>
      <c r="I57" s="29"/>
      <c r="J57" s="425">
        <f t="shared" si="6"/>
        <v>0</v>
      </c>
      <c r="K57" s="471"/>
      <c r="L57" s="697" t="str">
        <f t="shared" si="7"/>
        <v/>
      </c>
      <c r="M57" s="719"/>
      <c r="N57" s="720"/>
      <c r="O57" s="720"/>
      <c r="P57" s="720"/>
      <c r="Q57" s="720"/>
      <c r="R57" s="720"/>
      <c r="S57" s="720"/>
      <c r="T57" s="721"/>
      <c r="U57" s="71"/>
      <c r="V57" s="464"/>
      <c r="W57" s="476"/>
      <c r="X57" s="522"/>
      <c r="Y57" s="522"/>
      <c r="Z57" s="522"/>
      <c r="AA57" s="522"/>
      <c r="AB57" s="522"/>
    </row>
    <row r="58" spans="1:28" ht="30" x14ac:dyDescent="0.25">
      <c r="A58" s="646" t="s">
        <v>405</v>
      </c>
      <c r="B58" s="7">
        <f>IF(  AND(ISNUMBER(C58),OR(ISNUMBER(D58),D58="PG")),IF(IF(Capa!$B$6="B",0,Capa!$B$6)&gt;=C58,1,0),"")</f>
        <v>0</v>
      </c>
      <c r="C58" s="6">
        <f t="shared" si="1"/>
        <v>3</v>
      </c>
      <c r="D58" s="647">
        <v>250</v>
      </c>
      <c r="E58" s="411" t="s">
        <v>416</v>
      </c>
      <c r="F58" s="513"/>
      <c r="G58" s="468"/>
      <c r="H58" s="241"/>
      <c r="I58" s="29"/>
      <c r="J58" s="425">
        <f t="shared" si="6"/>
        <v>0</v>
      </c>
      <c r="K58" s="471"/>
      <c r="L58" s="697" t="str">
        <f t="shared" si="7"/>
        <v/>
      </c>
      <c r="M58" s="719"/>
      <c r="N58" s="720"/>
      <c r="O58" s="720"/>
      <c r="P58" s="720"/>
      <c r="Q58" s="720"/>
      <c r="R58" s="720"/>
      <c r="S58" s="720"/>
      <c r="T58" s="721"/>
      <c r="U58" s="71"/>
      <c r="V58" s="464"/>
      <c r="W58" s="476"/>
      <c r="X58" s="522"/>
      <c r="Y58" s="522"/>
      <c r="Z58" s="522"/>
      <c r="AA58" s="522"/>
      <c r="AB58" s="522"/>
    </row>
    <row r="59" spans="1:28" ht="6.6" customHeight="1" x14ac:dyDescent="0.25">
      <c r="B59" s="7" t="str">
        <f>IF(  AND(ISNUMBER(C59),OR(ISNUMBER(D59),D59="PG")),IF(IF(Capa!$B$6="B",0,Capa!$B$6)&gt;=C59,1,0),"")</f>
        <v/>
      </c>
      <c r="C59" s="6" t="str">
        <f t="shared" si="1"/>
        <v/>
      </c>
      <c r="D59" s="128"/>
      <c r="E59" s="291"/>
      <c r="F59" s="123"/>
      <c r="G59" s="227"/>
      <c r="H59" s="227"/>
      <c r="I59" s="123"/>
      <c r="J59" s="227"/>
      <c r="K59" s="694"/>
      <c r="L59" s="227"/>
      <c r="M59" s="124"/>
      <c r="N59" s="124"/>
      <c r="O59" s="124"/>
      <c r="P59" s="124"/>
      <c r="Q59" s="124"/>
      <c r="R59" s="124"/>
      <c r="S59" s="251"/>
      <c r="T59" s="251"/>
      <c r="U59" s="260"/>
      <c r="V59" s="523"/>
      <c r="W59" s="134"/>
      <c r="X59" s="522"/>
      <c r="Y59" s="522"/>
      <c r="Z59" s="522"/>
      <c r="AA59" s="522"/>
      <c r="AB59" s="522"/>
    </row>
    <row r="60" spans="1:28" x14ac:dyDescent="0.25">
      <c r="A60" s="210" t="s">
        <v>417</v>
      </c>
      <c r="B60" s="7" t="str">
        <f>IF(  AND(ISNUMBER(C60),OR(ISNUMBER(D60),D60="PG")),IF(IF(Capa!$B$6="B",0,Capa!$B$6)&gt;=C60,1,0),"")</f>
        <v/>
      </c>
      <c r="C60" s="6" t="str">
        <f t="shared" si="1"/>
        <v/>
      </c>
      <c r="D60" s="15"/>
      <c r="E60" s="395" t="s">
        <v>418</v>
      </c>
      <c r="F60" s="517"/>
      <c r="G60" s="532"/>
      <c r="H60" s="219"/>
      <c r="I60" s="23"/>
      <c r="J60" s="219"/>
      <c r="K60" s="528"/>
      <c r="L60" s="383">
        <f>IF(AND($B62=1,D62="PG"),IF(COUNTIFS($A$1:$A$230,"="&amp;$A60,$B$1:$B$230,"&gt;0",$D$1:$D$230,"&gt;0")&gt;0,
        (COUNTIFS($A$1:$A$230,"="&amp;$A60,$B$1:$B$230,"&gt;0",$D$1:$D$230,"&gt;0",F$1:F$230,"=S",I$1:I$230,"") +
         (COUNTIFS($A$1:$A$230,"="&amp;$A60,$B$1:$B$230,"&gt;0",$D$1:$D$230,"&gt;0",$F$1:$F$230,"=P",I$1:I$230,"")/2) +
         COUNTIFS($A$1:$A$230,"="&amp;$A60,$B$1:$B$230,"&gt;0",$D$1:$D$230,"&gt;0",I$1:I$230,"=S") +
         (COUNTIFS($A$1:$A$230,"="&amp;$A60,$B$1:$B$230,"&gt;0",$D$1:$D$230,"&gt;0",I$1:I$230,"=P")/2)
         )/COUNTIFS($A$1:$A$230,"="&amp;$A60,$B$1:$B$230,"&gt;0",$D$1:$D$230,"&gt;0"),1),"")</f>
        <v>0</v>
      </c>
      <c r="M60" s="380"/>
      <c r="N60" s="70"/>
      <c r="O60" s="68"/>
      <c r="P60" s="68"/>
      <c r="Q60" s="83">
        <f>IF(L60="","",MIN(IF(ISBLANK(Q62),0,Q62),IF(L60&gt;0.9,4,IF(L60&gt;0.5,3,IF(L60&gt;0.3,2,IF(OR(L60&gt;0,Q62&gt;0),1,0))))))</f>
        <v>0</v>
      </c>
      <c r="R60" s="70"/>
      <c r="S60" s="260"/>
      <c r="T60" s="260"/>
      <c r="U60" s="260"/>
      <c r="V60" s="524"/>
      <c r="W60" s="583"/>
      <c r="X60" s="579"/>
      <c r="Y60" s="579"/>
      <c r="Z60" s="579"/>
      <c r="AA60" s="579"/>
      <c r="AB60" s="579"/>
    </row>
    <row r="61" spans="1:28" ht="4.7" customHeight="1" x14ac:dyDescent="0.25">
      <c r="A61" s="210" t="s">
        <v>417</v>
      </c>
      <c r="B61" s="7" t="str">
        <f>IF(  AND(ISNUMBER(C61),OR(ISNUMBER(D61),D61="PG")),IF(IF(Capa!$B$6="B",0,Capa!$B$6)&gt;=C61,1,0),"")</f>
        <v/>
      </c>
      <c r="C61" s="6">
        <f t="shared" si="1"/>
        <v>0</v>
      </c>
      <c r="D61" s="18" t="s">
        <v>53</v>
      </c>
      <c r="E61" s="394"/>
      <c r="F61" s="516"/>
      <c r="G61" s="533"/>
      <c r="H61" s="239"/>
      <c r="I61" s="26"/>
      <c r="J61" s="239"/>
      <c r="K61" s="529"/>
      <c r="L61" s="240"/>
      <c r="M61" s="69"/>
      <c r="N61" s="69"/>
      <c r="O61" s="69"/>
      <c r="P61" s="69"/>
      <c r="Q61" s="69"/>
      <c r="R61" s="69"/>
      <c r="S61" s="261"/>
      <c r="T61" s="261"/>
      <c r="U61" s="303"/>
      <c r="V61" s="526"/>
      <c r="W61" s="585"/>
      <c r="X61" s="522"/>
      <c r="Y61" s="522"/>
      <c r="Z61" s="522"/>
      <c r="AA61" s="522"/>
      <c r="AB61" s="522"/>
    </row>
    <row r="62" spans="1:28" ht="38.25" x14ac:dyDescent="0.25">
      <c r="A62" s="646" t="s">
        <v>417</v>
      </c>
      <c r="B62" s="7">
        <f>IF(  AND(ISNUMBER(C62),OR(ISNUMBER(D62),D62="PG")),IF(IF(Capa!$B$6="B",0,Capa!$B$6)&gt;=C62,1,0),"")</f>
        <v>1</v>
      </c>
      <c r="C62" s="6">
        <f t="shared" si="1"/>
        <v>0</v>
      </c>
      <c r="D62" s="647" t="s">
        <v>54</v>
      </c>
      <c r="E62" s="389" t="s">
        <v>419</v>
      </c>
      <c r="F62" s="513"/>
      <c r="G62" s="468"/>
      <c r="H62" s="241"/>
      <c r="I62" s="29"/>
      <c r="J62" s="239"/>
      <c r="K62" s="471"/>
      <c r="L62" s="697" t="str">
        <f>IF(OR(AND(NOT(ISBLANK(M62)),M62&lt;IF(Capa!$B$6&lt;&gt;"B",Capa!$B$6+1,1)),AND(NOT(ISBLANK(N62)),N62&lt;IF(Capa!$B$6&lt;&gt;"B",Capa!$B$6+1,1)),AND(NOT(ISBLANK(O62)),O62&lt;IF(Capa!$B$6&lt;&gt;"B",Capa!$B$6+1,1)),AND(NOT(ISBLANK(Q62)),Q62&lt;IF(Capa!$B$6&lt;&gt;"B",Capa!$B$6+1,1)),AND(NOT(ISBLANK(R62)),R62&lt;IF(Capa!$B$6&lt;&gt;"B",Capa!$B$6+1,1)),AND(NOT(ISBLANK(S62)),S62&lt;IF(Capa!$B$6&lt;&gt;"B",Capa!$B$6+1,1))),1,"")</f>
        <v/>
      </c>
      <c r="M62" s="81"/>
      <c r="N62" s="81"/>
      <c r="O62" s="81"/>
      <c r="P62" s="81"/>
      <c r="Q62" s="81"/>
      <c r="R62" s="81"/>
      <c r="S62" s="81"/>
      <c r="T62" s="81"/>
      <c r="U62" s="58"/>
      <c r="V62" s="464"/>
      <c r="W62" s="476"/>
      <c r="X62" s="666"/>
      <c r="Y62" s="522"/>
      <c r="Z62" s="522"/>
      <c r="AA62" s="522"/>
      <c r="AB62" s="522"/>
    </row>
    <row r="63" spans="1:28" ht="30" x14ac:dyDescent="0.25">
      <c r="A63" s="646" t="s">
        <v>417</v>
      </c>
      <c r="B63" s="7">
        <f>IF(  AND(ISNUMBER(C63),OR(ISNUMBER(D63),D63="PG")),IF(IF(Capa!$B$6="B",0,Capa!$B$6)&gt;=C63,1,0),"")</f>
        <v>1</v>
      </c>
      <c r="C63" s="6">
        <f t="shared" si="1"/>
        <v>0</v>
      </c>
      <c r="D63" s="647">
        <v>251</v>
      </c>
      <c r="E63" s="352" t="s">
        <v>420</v>
      </c>
      <c r="F63" s="513"/>
      <c r="G63" s="468"/>
      <c r="H63" s="241"/>
      <c r="I63" s="29"/>
      <c r="J63" s="425">
        <f t="shared" ref="J63:J75" si="8">LEN(K63)</f>
        <v>0</v>
      </c>
      <c r="K63" s="471"/>
      <c r="L63" s="697" t="str">
        <f t="shared" ref="L63:L75" si="9">IF(OR(I63="N",I63="P"),1,"")</f>
        <v/>
      </c>
      <c r="M63" s="719"/>
      <c r="N63" s="720"/>
      <c r="O63" s="720"/>
      <c r="P63" s="720"/>
      <c r="Q63" s="720"/>
      <c r="R63" s="720"/>
      <c r="S63" s="720"/>
      <c r="T63" s="721"/>
      <c r="U63" s="71"/>
      <c r="V63" s="464"/>
      <c r="W63" s="476"/>
      <c r="X63" s="522"/>
      <c r="Y63" s="522"/>
      <c r="Z63" s="522"/>
      <c r="AA63" s="522"/>
      <c r="AB63" s="522"/>
    </row>
    <row r="64" spans="1:28" ht="45" x14ac:dyDescent="0.25">
      <c r="A64" s="646" t="s">
        <v>417</v>
      </c>
      <c r="B64" s="7">
        <f>IF(  AND(ISNUMBER(C64),OR(ISNUMBER(D64),D64="PG")),IF(IF(Capa!$B$6="B",0,Capa!$B$6)&gt;=C64,1,0),"")</f>
        <v>1</v>
      </c>
      <c r="C64" s="6">
        <f t="shared" si="1"/>
        <v>0</v>
      </c>
      <c r="D64" s="647">
        <v>252</v>
      </c>
      <c r="E64" s="352" t="s">
        <v>421</v>
      </c>
      <c r="F64" s="513"/>
      <c r="G64" s="468"/>
      <c r="H64" s="241"/>
      <c r="I64" s="29"/>
      <c r="J64" s="425">
        <f t="shared" si="8"/>
        <v>0</v>
      </c>
      <c r="K64" s="471"/>
      <c r="L64" s="697" t="str">
        <f t="shared" si="9"/>
        <v/>
      </c>
      <c r="M64" s="719"/>
      <c r="N64" s="720"/>
      <c r="O64" s="720"/>
      <c r="P64" s="720"/>
      <c r="Q64" s="720"/>
      <c r="R64" s="720"/>
      <c r="S64" s="720"/>
      <c r="T64" s="721"/>
      <c r="U64" s="71"/>
      <c r="V64" s="464"/>
      <c r="W64" s="476"/>
      <c r="X64" s="522"/>
      <c r="Y64" s="522"/>
      <c r="Z64" s="522"/>
      <c r="AA64" s="522"/>
      <c r="AB64" s="522"/>
    </row>
    <row r="65" spans="1:28" ht="60" x14ac:dyDescent="0.25">
      <c r="A65" s="646" t="s">
        <v>417</v>
      </c>
      <c r="B65" s="7">
        <f>IF(  AND(ISNUMBER(C65),OR(ISNUMBER(D65),D65="PG")),IF(IF(Capa!$B$6="B",0,Capa!$B$6)&gt;=C65,1,0),"")</f>
        <v>1</v>
      </c>
      <c r="C65" s="6">
        <f t="shared" si="1"/>
        <v>0</v>
      </c>
      <c r="D65" s="647">
        <v>253</v>
      </c>
      <c r="E65" s="398" t="s">
        <v>422</v>
      </c>
      <c r="F65" s="513"/>
      <c r="G65" s="468"/>
      <c r="H65" s="241"/>
      <c r="I65" s="29"/>
      <c r="J65" s="425">
        <f t="shared" si="8"/>
        <v>0</v>
      </c>
      <c r="K65" s="471"/>
      <c r="L65" s="697" t="str">
        <f t="shared" si="9"/>
        <v/>
      </c>
      <c r="M65" s="719"/>
      <c r="N65" s="720"/>
      <c r="O65" s="720"/>
      <c r="P65" s="720"/>
      <c r="Q65" s="720"/>
      <c r="R65" s="720"/>
      <c r="S65" s="720"/>
      <c r="T65" s="721"/>
      <c r="U65" s="71"/>
      <c r="V65" s="464"/>
      <c r="W65" s="476"/>
      <c r="X65" s="522"/>
      <c r="Y65" s="522"/>
      <c r="Z65" s="522"/>
      <c r="AA65" s="522"/>
      <c r="AB65" s="522"/>
    </row>
    <row r="66" spans="1:28" ht="60" x14ac:dyDescent="0.25">
      <c r="A66" s="646" t="s">
        <v>417</v>
      </c>
      <c r="B66" s="7">
        <f>IF(  AND(ISNUMBER(C66),OR(ISNUMBER(D66),D66="PG")),IF(IF(Capa!$B$6="B",0,Capa!$B$6)&gt;=C66,1,0),"")</f>
        <v>1</v>
      </c>
      <c r="C66" s="6">
        <f t="shared" si="1"/>
        <v>0</v>
      </c>
      <c r="D66" s="647">
        <v>254</v>
      </c>
      <c r="E66" s="352" t="s">
        <v>423</v>
      </c>
      <c r="F66" s="513"/>
      <c r="G66" s="468"/>
      <c r="H66" s="241"/>
      <c r="I66" s="29"/>
      <c r="J66" s="425">
        <f t="shared" si="8"/>
        <v>0</v>
      </c>
      <c r="K66" s="471"/>
      <c r="L66" s="697" t="str">
        <f t="shared" si="9"/>
        <v/>
      </c>
      <c r="M66" s="719"/>
      <c r="N66" s="720"/>
      <c r="O66" s="720"/>
      <c r="P66" s="720"/>
      <c r="Q66" s="720"/>
      <c r="R66" s="720"/>
      <c r="S66" s="720"/>
      <c r="T66" s="721"/>
      <c r="U66" s="71"/>
      <c r="V66" s="464"/>
      <c r="W66" s="476"/>
      <c r="X66" s="522"/>
      <c r="Y66" s="522"/>
      <c r="Z66" s="522"/>
      <c r="AA66" s="522"/>
      <c r="AB66" s="522"/>
    </row>
    <row r="67" spans="1:28" ht="4.9000000000000004" customHeight="1" x14ac:dyDescent="0.25">
      <c r="A67" s="646" t="s">
        <v>417</v>
      </c>
      <c r="B67" s="7" t="str">
        <f>IF(  AND(ISNUMBER(C67),OR(ISNUMBER(D67),D67="PG")),IF(IF(Capa!$B$6="B",0,Capa!$B$6)&gt;=C67,1,0),"")</f>
        <v/>
      </c>
      <c r="C67" s="6">
        <f t="shared" si="1"/>
        <v>1</v>
      </c>
      <c r="D67" s="647" t="s">
        <v>62</v>
      </c>
      <c r="E67" s="352"/>
      <c r="F67" s="513"/>
      <c r="G67" s="468"/>
      <c r="H67" s="241"/>
      <c r="I67" s="29"/>
      <c r="J67" s="425">
        <f t="shared" si="8"/>
        <v>0</v>
      </c>
      <c r="K67" s="471"/>
      <c r="L67" s="697" t="str">
        <f t="shared" si="9"/>
        <v/>
      </c>
      <c r="M67" s="719"/>
      <c r="N67" s="720"/>
      <c r="O67" s="720"/>
      <c r="P67" s="720"/>
      <c r="Q67" s="720"/>
      <c r="R67" s="720"/>
      <c r="S67" s="720"/>
      <c r="T67" s="721"/>
      <c r="U67" s="71"/>
      <c r="V67" s="464"/>
      <c r="W67" s="476"/>
      <c r="X67" s="522"/>
      <c r="Y67" s="522"/>
      <c r="Z67" s="522"/>
      <c r="AA67" s="522"/>
      <c r="AB67" s="522"/>
    </row>
    <row r="68" spans="1:28" ht="45" x14ac:dyDescent="0.25">
      <c r="A68" s="646" t="s">
        <v>417</v>
      </c>
      <c r="B68" s="7">
        <f>IF(  AND(ISNUMBER(C68),OR(ISNUMBER(D68),D68="PG")),IF(IF(Capa!$B$6="B",0,Capa!$B$6)&gt;=C68,1,0),"")</f>
        <v>0</v>
      </c>
      <c r="C68" s="6">
        <f t="shared" si="1"/>
        <v>1</v>
      </c>
      <c r="D68" s="647">
        <v>255</v>
      </c>
      <c r="E68" s="352" t="s">
        <v>424</v>
      </c>
      <c r="F68" s="513"/>
      <c r="G68" s="468"/>
      <c r="H68" s="241"/>
      <c r="I68" s="29"/>
      <c r="J68" s="425">
        <f t="shared" si="8"/>
        <v>0</v>
      </c>
      <c r="K68" s="471"/>
      <c r="L68" s="697" t="str">
        <f t="shared" si="9"/>
        <v/>
      </c>
      <c r="M68" s="719"/>
      <c r="N68" s="720"/>
      <c r="O68" s="720"/>
      <c r="P68" s="720"/>
      <c r="Q68" s="720"/>
      <c r="R68" s="720"/>
      <c r="S68" s="720"/>
      <c r="T68" s="721"/>
      <c r="U68" s="71"/>
      <c r="V68" s="464"/>
      <c r="W68" s="476"/>
      <c r="X68" s="522"/>
      <c r="Y68" s="522"/>
      <c r="Z68" s="522"/>
      <c r="AA68" s="522"/>
      <c r="AB68" s="522"/>
    </row>
    <row r="69" spans="1:28" ht="7.9" customHeight="1" x14ac:dyDescent="0.25">
      <c r="A69" s="646" t="s">
        <v>417</v>
      </c>
      <c r="B69" s="7" t="str">
        <f>IF(  AND(ISNUMBER(C69),OR(ISNUMBER(D69),D69="PG")),IF(IF(Capa!$B$6="B",0,Capa!$B$6)&gt;=C69,1,0),"")</f>
        <v/>
      </c>
      <c r="C69" s="6">
        <f t="shared" ref="C69:C75" si="10">IF(ISBLANK(D69),"",IF(ISERR(SEARCH(D69&amp;"\","&lt;B&gt;\&lt;1&gt;\&lt;2&gt;\&lt;3&gt;\")),IF(AND(NOT(ISBLANK(C68)),C68&lt;=3),C68,""),
IF(SEARCH(D69&amp;"\","&lt;B&gt;\&lt;1&gt;\&lt;2&gt;\&lt;3&gt;\")=1,0,IF(SEARCH(D69&amp;"\","&lt;B&gt;\&lt;1&gt;\&lt;2&gt;\&lt;3&gt;\")=5,1,IF(SEARCH(D69&amp;"\","&lt;B&gt;\&lt;1&gt;\&lt;2&gt;\&lt;3&gt;\")=9,2,IF(SEARCH(D69&amp;"\","&lt;B&gt;\&lt;1&gt;\&lt;2&gt;\&lt;3&gt;\")=13,3,""))))))</f>
        <v>2</v>
      </c>
      <c r="D69" s="647" t="s">
        <v>64</v>
      </c>
      <c r="E69" s="352"/>
      <c r="F69" s="513"/>
      <c r="G69" s="468"/>
      <c r="H69" s="241"/>
      <c r="I69" s="29"/>
      <c r="J69" s="425">
        <f t="shared" si="8"/>
        <v>0</v>
      </c>
      <c r="K69" s="471"/>
      <c r="L69" s="697" t="str">
        <f t="shared" si="9"/>
        <v/>
      </c>
      <c r="M69" s="719"/>
      <c r="N69" s="720"/>
      <c r="O69" s="720"/>
      <c r="P69" s="720"/>
      <c r="Q69" s="720"/>
      <c r="R69" s="720"/>
      <c r="S69" s="720"/>
      <c r="T69" s="721"/>
      <c r="U69" s="71"/>
      <c r="V69" s="464"/>
      <c r="W69" s="476"/>
      <c r="X69" s="522"/>
      <c r="Y69" s="522"/>
      <c r="Z69" s="522"/>
      <c r="AA69" s="522"/>
      <c r="AB69" s="522"/>
    </row>
    <row r="70" spans="1:28" ht="30" x14ac:dyDescent="0.25">
      <c r="A70" s="646" t="s">
        <v>417</v>
      </c>
      <c r="B70" s="7">
        <f>IF(  AND(ISNUMBER(C70),OR(ISNUMBER(D70),D70="PG")),IF(IF(Capa!$B$6="B",0,Capa!$B$6)&gt;=C70,1,0),"")</f>
        <v>0</v>
      </c>
      <c r="C70" s="6">
        <f t="shared" si="10"/>
        <v>2</v>
      </c>
      <c r="D70" s="647">
        <v>256</v>
      </c>
      <c r="E70" s="352" t="s">
        <v>425</v>
      </c>
      <c r="F70" s="513"/>
      <c r="G70" s="468"/>
      <c r="H70" s="241"/>
      <c r="I70" s="29"/>
      <c r="J70" s="425">
        <f t="shared" si="8"/>
        <v>0</v>
      </c>
      <c r="K70" s="471"/>
      <c r="L70" s="697" t="str">
        <f t="shared" si="9"/>
        <v/>
      </c>
      <c r="M70" s="719"/>
      <c r="N70" s="720"/>
      <c r="O70" s="720"/>
      <c r="P70" s="720"/>
      <c r="Q70" s="720"/>
      <c r="R70" s="720"/>
      <c r="S70" s="720"/>
      <c r="T70" s="721"/>
      <c r="U70" s="71"/>
      <c r="V70" s="464"/>
      <c r="W70" s="476"/>
      <c r="X70" s="522"/>
      <c r="Y70" s="522"/>
      <c r="Z70" s="522"/>
      <c r="AA70" s="522"/>
      <c r="AB70" s="522"/>
    </row>
    <row r="71" spans="1:28" ht="60" x14ac:dyDescent="0.25">
      <c r="A71" s="646" t="s">
        <v>417</v>
      </c>
      <c r="B71" s="7">
        <f>IF(  AND(ISNUMBER(C71),OR(ISNUMBER(D71),D71="PG")),IF(IF(Capa!$B$6="B",0,Capa!$B$6)&gt;=C71,1,0),"")</f>
        <v>0</v>
      </c>
      <c r="C71" s="6">
        <f t="shared" si="10"/>
        <v>2</v>
      </c>
      <c r="D71" s="647">
        <v>257</v>
      </c>
      <c r="E71" s="352" t="s">
        <v>426</v>
      </c>
      <c r="F71" s="513"/>
      <c r="G71" s="468"/>
      <c r="H71" s="241"/>
      <c r="I71" s="29"/>
      <c r="J71" s="425">
        <f t="shared" si="8"/>
        <v>0</v>
      </c>
      <c r="K71" s="471"/>
      <c r="L71" s="697" t="str">
        <f t="shared" si="9"/>
        <v/>
      </c>
      <c r="M71" s="719"/>
      <c r="N71" s="720"/>
      <c r="O71" s="720"/>
      <c r="P71" s="720"/>
      <c r="Q71" s="720"/>
      <c r="R71" s="720"/>
      <c r="S71" s="720"/>
      <c r="T71" s="721"/>
      <c r="U71" s="71"/>
      <c r="V71" s="464"/>
      <c r="W71" s="476"/>
      <c r="X71" s="522"/>
      <c r="Y71" s="522"/>
      <c r="Z71" s="522"/>
      <c r="AA71" s="522"/>
      <c r="AB71" s="522"/>
    </row>
    <row r="72" spans="1:28" ht="7.35" customHeight="1" x14ac:dyDescent="0.25">
      <c r="A72" s="646" t="s">
        <v>417</v>
      </c>
      <c r="B72" s="7" t="str">
        <f>IF(  AND(ISNUMBER(C72),OR(ISNUMBER(D72),D72="PG")),IF(IF(Capa!$B$6="B",0,Capa!$B$6)&gt;=C72,1,0),"")</f>
        <v/>
      </c>
      <c r="C72" s="6">
        <f t="shared" si="10"/>
        <v>3</v>
      </c>
      <c r="D72" s="647" t="s">
        <v>70</v>
      </c>
      <c r="E72" s="352"/>
      <c r="F72" s="513"/>
      <c r="G72" s="468"/>
      <c r="H72" s="241"/>
      <c r="I72" s="29"/>
      <c r="J72" s="425">
        <f t="shared" si="8"/>
        <v>0</v>
      </c>
      <c r="K72" s="471"/>
      <c r="L72" s="697" t="str">
        <f t="shared" si="9"/>
        <v/>
      </c>
      <c r="M72" s="719"/>
      <c r="N72" s="720"/>
      <c r="O72" s="720"/>
      <c r="P72" s="720"/>
      <c r="Q72" s="720"/>
      <c r="R72" s="720"/>
      <c r="S72" s="720"/>
      <c r="T72" s="721"/>
      <c r="U72" s="71"/>
      <c r="V72" s="464"/>
      <c r="W72" s="476"/>
      <c r="X72" s="522"/>
      <c r="Y72" s="522"/>
      <c r="Z72" s="522"/>
      <c r="AA72" s="522"/>
      <c r="AB72" s="522"/>
    </row>
    <row r="73" spans="1:28" ht="60" x14ac:dyDescent="0.25">
      <c r="A73" s="646" t="s">
        <v>417</v>
      </c>
      <c r="B73" s="7">
        <f>IF(  AND(ISNUMBER(C73),OR(ISNUMBER(D73),D73="PG")),IF(IF(Capa!$B$6="B",0,Capa!$B$6)&gt;=C73,1,0),"")</f>
        <v>0</v>
      </c>
      <c r="C73" s="6">
        <f t="shared" si="10"/>
        <v>3</v>
      </c>
      <c r="D73" s="647">
        <v>258</v>
      </c>
      <c r="E73" s="352" t="s">
        <v>427</v>
      </c>
      <c r="F73" s="513"/>
      <c r="G73" s="468"/>
      <c r="H73" s="241"/>
      <c r="I73" s="29"/>
      <c r="J73" s="425">
        <f t="shared" si="8"/>
        <v>0</v>
      </c>
      <c r="K73" s="471"/>
      <c r="L73" s="697" t="str">
        <f t="shared" si="9"/>
        <v/>
      </c>
      <c r="M73" s="719"/>
      <c r="N73" s="720"/>
      <c r="O73" s="720"/>
      <c r="P73" s="720"/>
      <c r="Q73" s="720"/>
      <c r="R73" s="720"/>
      <c r="S73" s="720"/>
      <c r="T73" s="721"/>
      <c r="U73" s="71"/>
      <c r="V73" s="464"/>
      <c r="W73" s="476"/>
      <c r="X73" s="522"/>
      <c r="Y73" s="522"/>
      <c r="Z73" s="522"/>
      <c r="AA73" s="522"/>
      <c r="AB73" s="522"/>
    </row>
    <row r="74" spans="1:28" ht="60" x14ac:dyDescent="0.25">
      <c r="A74" s="646" t="s">
        <v>417</v>
      </c>
      <c r="B74" s="7">
        <f>IF(  AND(ISNUMBER(C74),OR(ISNUMBER(D74),D74="PG")),IF(IF(Capa!$B$6="B",0,Capa!$B$6)&gt;=C74,1,0),"")</f>
        <v>0</v>
      </c>
      <c r="C74" s="6">
        <f t="shared" si="10"/>
        <v>3</v>
      </c>
      <c r="D74" s="647">
        <v>259</v>
      </c>
      <c r="E74" s="352" t="s">
        <v>428</v>
      </c>
      <c r="F74" s="513"/>
      <c r="G74" s="468"/>
      <c r="H74" s="241"/>
      <c r="I74" s="29"/>
      <c r="J74" s="425">
        <f t="shared" si="8"/>
        <v>0</v>
      </c>
      <c r="K74" s="471"/>
      <c r="L74" s="697" t="str">
        <f t="shared" si="9"/>
        <v/>
      </c>
      <c r="M74" s="719"/>
      <c r="N74" s="720"/>
      <c r="O74" s="720"/>
      <c r="P74" s="720"/>
      <c r="Q74" s="720"/>
      <c r="R74" s="720"/>
      <c r="S74" s="720"/>
      <c r="T74" s="721"/>
      <c r="U74" s="71"/>
      <c r="V74" s="464"/>
      <c r="W74" s="476"/>
      <c r="X74" s="522"/>
      <c r="Y74" s="522"/>
      <c r="Z74" s="522"/>
      <c r="AA74" s="522"/>
      <c r="AB74" s="522"/>
    </row>
    <row r="75" spans="1:28" ht="45" x14ac:dyDescent="0.25">
      <c r="A75" s="646" t="s">
        <v>417</v>
      </c>
      <c r="B75" s="7">
        <f>IF(  AND(ISNUMBER(C75),OR(ISNUMBER(D75),D75="PG")),IF(IF(Capa!$B$6="B",0,Capa!$B$6)&gt;=C75,1,0),"")</f>
        <v>0</v>
      </c>
      <c r="C75" s="6">
        <f t="shared" si="10"/>
        <v>3</v>
      </c>
      <c r="D75" s="649">
        <v>260</v>
      </c>
      <c r="E75" s="412" t="s">
        <v>429</v>
      </c>
      <c r="F75" s="513"/>
      <c r="G75" s="468"/>
      <c r="H75" s="241"/>
      <c r="I75" s="29"/>
      <c r="J75" s="425">
        <f t="shared" si="8"/>
        <v>0</v>
      </c>
      <c r="K75" s="471"/>
      <c r="L75" s="697" t="str">
        <f t="shared" si="9"/>
        <v/>
      </c>
      <c r="M75" s="719"/>
      <c r="N75" s="720"/>
      <c r="O75" s="720"/>
      <c r="P75" s="720"/>
      <c r="Q75" s="720"/>
      <c r="R75" s="720"/>
      <c r="S75" s="720"/>
      <c r="T75" s="721"/>
      <c r="U75" s="71"/>
      <c r="V75" s="464"/>
      <c r="W75" s="477"/>
      <c r="X75" s="522"/>
      <c r="Y75" s="522"/>
      <c r="Z75" s="522"/>
      <c r="AA75" s="522"/>
      <c r="AB75" s="522"/>
    </row>
    <row r="76" spans="1:28" ht="10.9" customHeight="1" x14ac:dyDescent="0.25">
      <c r="C76" s="10"/>
      <c r="D76" s="294"/>
      <c r="E76" s="248"/>
      <c r="F76" s="30"/>
      <c r="G76" s="295"/>
      <c r="H76" s="295"/>
      <c r="I76" s="30"/>
      <c r="J76" s="295"/>
      <c r="K76" s="265"/>
      <c r="L76" s="295"/>
      <c r="M76" s="74"/>
      <c r="N76" s="74"/>
      <c r="O76" s="74"/>
      <c r="P76" s="74"/>
      <c r="Q76" s="74"/>
      <c r="R76" s="74"/>
      <c r="S76" s="261"/>
      <c r="T76" s="261"/>
      <c r="U76" s="261"/>
      <c r="V76" s="261"/>
      <c r="W76" s="585"/>
      <c r="X76" s="522"/>
      <c r="Y76" s="522"/>
      <c r="Z76" s="522"/>
      <c r="AA76" s="522"/>
      <c r="AB76" s="522"/>
    </row>
    <row r="77" spans="1:28" s="214" customFormat="1" x14ac:dyDescent="0.25">
      <c r="A77" s="266"/>
      <c r="B77" s="266"/>
      <c r="C77" s="54"/>
      <c r="D77" s="267"/>
      <c r="E77" s="268"/>
      <c r="F77" s="55"/>
      <c r="G77" s="269"/>
      <c r="H77" s="269"/>
      <c r="I77" s="55"/>
      <c r="J77" s="269"/>
      <c r="K77" s="270"/>
      <c r="L77" s="273"/>
      <c r="M77" s="75"/>
      <c r="N77" s="75"/>
      <c r="O77" s="75"/>
      <c r="P77" s="75"/>
      <c r="Q77" s="75"/>
      <c r="R77" s="75"/>
      <c r="S77" s="215"/>
      <c r="T77" s="215"/>
      <c r="U77" s="215"/>
      <c r="V77" s="215"/>
      <c r="W77" s="76"/>
    </row>
    <row r="78" spans="1:28" s="214" customFormat="1" x14ac:dyDescent="0.25">
      <c r="A78" s="266"/>
      <c r="B78" s="266"/>
      <c r="C78" s="54"/>
      <c r="D78" s="267"/>
      <c r="E78" s="268"/>
      <c r="F78" s="55"/>
      <c r="G78" s="269"/>
      <c r="H78" s="269"/>
      <c r="I78" s="55"/>
      <c r="J78" s="269"/>
      <c r="K78" s="270"/>
      <c r="L78" s="273"/>
      <c r="M78" s="75"/>
      <c r="N78" s="75"/>
      <c r="O78" s="75"/>
      <c r="P78" s="75"/>
      <c r="Q78" s="75"/>
      <c r="R78" s="75"/>
      <c r="S78" s="215"/>
      <c r="T78" s="215"/>
      <c r="U78" s="215"/>
      <c r="V78" s="215"/>
      <c r="W78" s="76"/>
    </row>
    <row r="79" spans="1:28" s="214" customFormat="1" x14ac:dyDescent="0.25">
      <c r="A79" s="266"/>
      <c r="B79" s="266"/>
      <c r="C79" s="54"/>
      <c r="D79" s="267"/>
      <c r="E79" s="268"/>
      <c r="F79" s="55"/>
      <c r="G79" s="269"/>
      <c r="H79" s="269"/>
      <c r="I79" s="55"/>
      <c r="J79" s="269"/>
      <c r="K79" s="270"/>
      <c r="L79" s="273"/>
      <c r="M79" s="75"/>
      <c r="N79" s="75"/>
      <c r="O79" s="75"/>
      <c r="P79" s="75"/>
      <c r="Q79" s="75"/>
      <c r="R79" s="75"/>
      <c r="S79" s="215"/>
      <c r="T79" s="215"/>
      <c r="U79" s="215"/>
      <c r="V79" s="215"/>
      <c r="W79" s="76"/>
    </row>
    <row r="80" spans="1:28" s="214" customFormat="1" x14ac:dyDescent="0.25">
      <c r="A80" s="266"/>
      <c r="B80" s="266"/>
      <c r="C80" s="54"/>
      <c r="D80" s="267"/>
      <c r="E80" s="268"/>
      <c r="F80" s="55"/>
      <c r="G80" s="269"/>
      <c r="H80" s="269"/>
      <c r="I80" s="55"/>
      <c r="J80" s="269"/>
      <c r="K80" s="270"/>
      <c r="L80" s="273"/>
      <c r="M80" s="75"/>
      <c r="N80" s="75"/>
      <c r="O80" s="75"/>
      <c r="P80" s="75"/>
      <c r="Q80" s="75"/>
      <c r="R80" s="75"/>
      <c r="S80" s="215"/>
      <c r="T80" s="215"/>
      <c r="U80" s="215"/>
      <c r="V80" s="215"/>
      <c r="W80" s="76"/>
    </row>
    <row r="81" spans="1:23" s="214" customFormat="1" x14ac:dyDescent="0.25">
      <c r="A81" s="266"/>
      <c r="B81" s="266"/>
      <c r="C81" s="54"/>
      <c r="D81" s="267"/>
      <c r="E81" s="268"/>
      <c r="F81" s="55"/>
      <c r="G81" s="269"/>
      <c r="H81" s="269"/>
      <c r="I81" s="55"/>
      <c r="J81" s="269"/>
      <c r="K81" s="270"/>
      <c r="L81" s="273"/>
      <c r="M81" s="75"/>
      <c r="N81" s="75"/>
      <c r="O81" s="75"/>
      <c r="P81" s="75"/>
      <c r="Q81" s="75"/>
      <c r="R81" s="75"/>
      <c r="S81" s="215"/>
      <c r="T81" s="215"/>
      <c r="U81" s="215"/>
      <c r="V81" s="215"/>
      <c r="W81" s="76"/>
    </row>
    <row r="82" spans="1:23" s="214" customFormat="1" x14ac:dyDescent="0.25">
      <c r="A82" s="266"/>
      <c r="B82" s="266"/>
      <c r="C82" s="54"/>
      <c r="D82" s="267"/>
      <c r="E82" s="268"/>
      <c r="F82" s="55"/>
      <c r="G82" s="269"/>
      <c r="H82" s="269"/>
      <c r="I82" s="55"/>
      <c r="J82" s="269"/>
      <c r="K82" s="270"/>
      <c r="L82" s="273"/>
      <c r="M82" s="75"/>
      <c r="N82" s="75"/>
      <c r="O82" s="75"/>
      <c r="P82" s="75"/>
      <c r="Q82" s="75"/>
      <c r="R82" s="75"/>
      <c r="S82" s="215"/>
      <c r="T82" s="215"/>
      <c r="U82" s="215"/>
      <c r="V82" s="215"/>
      <c r="W82" s="76"/>
    </row>
    <row r="83" spans="1:23" s="214" customFormat="1" x14ac:dyDescent="0.25">
      <c r="A83" s="266"/>
      <c r="B83" s="266"/>
      <c r="C83" s="54"/>
      <c r="D83" s="267"/>
      <c r="E83" s="268"/>
      <c r="F83" s="55"/>
      <c r="G83" s="269"/>
      <c r="H83" s="269"/>
      <c r="I83" s="55"/>
      <c r="J83" s="269"/>
      <c r="K83" s="270"/>
      <c r="L83" s="273"/>
      <c r="M83" s="75"/>
      <c r="N83" s="75"/>
      <c r="O83" s="75"/>
      <c r="P83" s="75"/>
      <c r="Q83" s="75"/>
      <c r="R83" s="75"/>
      <c r="S83" s="215"/>
      <c r="T83" s="215"/>
      <c r="U83" s="215"/>
      <c r="V83" s="215"/>
      <c r="W83" s="76"/>
    </row>
    <row r="84" spans="1:23" s="214" customFormat="1" x14ac:dyDescent="0.25">
      <c r="A84" s="266"/>
      <c r="B84" s="266"/>
      <c r="C84" s="54"/>
      <c r="D84" s="267"/>
      <c r="E84" s="268"/>
      <c r="F84" s="55"/>
      <c r="G84" s="269"/>
      <c r="H84" s="269"/>
      <c r="I84" s="55"/>
      <c r="J84" s="269"/>
      <c r="K84" s="270"/>
      <c r="L84" s="273"/>
      <c r="M84" s="75"/>
      <c r="N84" s="75"/>
      <c r="O84" s="75"/>
      <c r="P84" s="75"/>
      <c r="Q84" s="75"/>
      <c r="R84" s="75"/>
      <c r="S84" s="215"/>
      <c r="T84" s="215"/>
      <c r="U84" s="215"/>
      <c r="V84" s="215"/>
      <c r="W84" s="76"/>
    </row>
    <row r="85" spans="1:23" s="214" customFormat="1" x14ac:dyDescent="0.25">
      <c r="A85" s="266"/>
      <c r="B85" s="266"/>
      <c r="C85" s="54"/>
      <c r="D85" s="267"/>
      <c r="E85" s="268"/>
      <c r="F85" s="55"/>
      <c r="G85" s="269"/>
      <c r="H85" s="269"/>
      <c r="I85" s="55"/>
      <c r="J85" s="269"/>
      <c r="K85" s="270"/>
      <c r="L85" s="273"/>
      <c r="M85" s="75"/>
      <c r="N85" s="75"/>
      <c r="O85" s="75"/>
      <c r="P85" s="75"/>
      <c r="Q85" s="75"/>
      <c r="R85" s="75"/>
      <c r="S85" s="215"/>
      <c r="T85" s="215"/>
      <c r="U85" s="215"/>
      <c r="V85" s="215"/>
      <c r="W85" s="76"/>
    </row>
    <row r="86" spans="1:23" s="214" customFormat="1" x14ac:dyDescent="0.25">
      <c r="A86" s="266"/>
      <c r="B86" s="266"/>
      <c r="C86" s="54"/>
      <c r="D86" s="267"/>
      <c r="E86" s="268"/>
      <c r="F86" s="55"/>
      <c r="G86" s="269"/>
      <c r="H86" s="269"/>
      <c r="I86" s="55"/>
      <c r="J86" s="269"/>
      <c r="K86" s="270"/>
      <c r="L86" s="273"/>
      <c r="M86" s="75"/>
      <c r="N86" s="75"/>
      <c r="O86" s="75"/>
      <c r="P86" s="75"/>
      <c r="Q86" s="75"/>
      <c r="R86" s="75"/>
      <c r="S86" s="215"/>
      <c r="T86" s="215"/>
      <c r="U86" s="215"/>
      <c r="V86" s="215"/>
      <c r="W86" s="76"/>
    </row>
    <row r="87" spans="1:23" s="214" customFormat="1" x14ac:dyDescent="0.25">
      <c r="A87" s="266"/>
      <c r="B87" s="266"/>
      <c r="C87" s="54"/>
      <c r="D87" s="267"/>
      <c r="E87" s="268"/>
      <c r="F87" s="55"/>
      <c r="G87" s="269"/>
      <c r="H87" s="269"/>
      <c r="I87" s="55"/>
      <c r="J87" s="269"/>
      <c r="K87" s="270"/>
      <c r="L87" s="273"/>
      <c r="M87" s="75"/>
      <c r="N87" s="75"/>
      <c r="O87" s="75"/>
      <c r="P87" s="75"/>
      <c r="Q87" s="75"/>
      <c r="R87" s="75"/>
      <c r="S87" s="215"/>
      <c r="T87" s="215"/>
      <c r="U87" s="215"/>
      <c r="V87" s="215"/>
      <c r="W87" s="76"/>
    </row>
    <row r="88" spans="1:23" s="214" customFormat="1" x14ac:dyDescent="0.25">
      <c r="A88" s="266"/>
      <c r="B88" s="266"/>
      <c r="C88" s="54"/>
      <c r="D88" s="267"/>
      <c r="E88" s="268"/>
      <c r="F88" s="55"/>
      <c r="G88" s="269"/>
      <c r="H88" s="269"/>
      <c r="I88" s="55"/>
      <c r="J88" s="269"/>
      <c r="K88" s="270"/>
      <c r="L88" s="273"/>
      <c r="M88" s="75"/>
      <c r="N88" s="75"/>
      <c r="O88" s="75"/>
      <c r="P88" s="75"/>
      <c r="Q88" s="75"/>
      <c r="R88" s="75"/>
      <c r="S88" s="215"/>
      <c r="T88" s="215"/>
      <c r="U88" s="215"/>
      <c r="V88" s="215"/>
      <c r="W88" s="76"/>
    </row>
    <row r="89" spans="1:23" s="214" customFormat="1" x14ac:dyDescent="0.25">
      <c r="A89" s="266"/>
      <c r="B89" s="266"/>
      <c r="C89" s="54"/>
      <c r="D89" s="267"/>
      <c r="E89" s="268"/>
      <c r="F89" s="55"/>
      <c r="G89" s="269"/>
      <c r="H89" s="269"/>
      <c r="I89" s="55"/>
      <c r="J89" s="269"/>
      <c r="K89" s="270"/>
      <c r="L89" s="273"/>
      <c r="M89" s="75"/>
      <c r="N89" s="75"/>
      <c r="O89" s="75"/>
      <c r="P89" s="75"/>
      <c r="Q89" s="75"/>
      <c r="R89" s="75"/>
      <c r="S89" s="215"/>
      <c r="T89" s="215"/>
      <c r="U89" s="215"/>
      <c r="V89" s="215"/>
      <c r="W89" s="76"/>
    </row>
    <row r="90" spans="1:23" s="214" customFormat="1" x14ac:dyDescent="0.25">
      <c r="A90" s="266"/>
      <c r="B90" s="266"/>
      <c r="C90" s="54"/>
      <c r="D90" s="267"/>
      <c r="E90" s="268"/>
      <c r="F90" s="55"/>
      <c r="G90" s="269"/>
      <c r="H90" s="269"/>
      <c r="I90" s="55"/>
      <c r="J90" s="269"/>
      <c r="K90" s="270"/>
      <c r="L90" s="273"/>
      <c r="M90" s="75"/>
      <c r="N90" s="75"/>
      <c r="O90" s="75"/>
      <c r="P90" s="75"/>
      <c r="Q90" s="75"/>
      <c r="R90" s="75"/>
      <c r="S90" s="215"/>
      <c r="T90" s="215"/>
      <c r="U90" s="215"/>
      <c r="V90" s="215"/>
      <c r="W90" s="76"/>
    </row>
    <row r="91" spans="1:23" s="214" customFormat="1" x14ac:dyDescent="0.25">
      <c r="A91" s="266"/>
      <c r="B91" s="266"/>
      <c r="C91" s="54"/>
      <c r="D91" s="267"/>
      <c r="E91" s="268"/>
      <c r="F91" s="55"/>
      <c r="G91" s="269"/>
      <c r="H91" s="269"/>
      <c r="I91" s="55"/>
      <c r="J91" s="269"/>
      <c r="K91" s="270"/>
      <c r="L91" s="273"/>
      <c r="M91" s="75"/>
      <c r="N91" s="75"/>
      <c r="O91" s="75"/>
      <c r="P91" s="75"/>
      <c r="Q91" s="75"/>
      <c r="R91" s="75"/>
      <c r="S91" s="215"/>
      <c r="T91" s="215"/>
      <c r="U91" s="215"/>
      <c r="V91" s="215"/>
      <c r="W91" s="76"/>
    </row>
    <row r="92" spans="1:23" s="214" customFormat="1" x14ac:dyDescent="0.25">
      <c r="A92" s="266"/>
      <c r="B92" s="266"/>
      <c r="C92" s="54"/>
      <c r="D92" s="267"/>
      <c r="E92" s="268"/>
      <c r="F92" s="55"/>
      <c r="G92" s="269"/>
      <c r="H92" s="269"/>
      <c r="I92" s="55"/>
      <c r="J92" s="269"/>
      <c r="K92" s="270"/>
      <c r="L92" s="273"/>
      <c r="M92" s="75"/>
      <c r="N92" s="75"/>
      <c r="O92" s="75"/>
      <c r="P92" s="75"/>
      <c r="Q92" s="75"/>
      <c r="R92" s="75"/>
      <c r="S92" s="215"/>
      <c r="T92" s="215"/>
      <c r="U92" s="215"/>
      <c r="V92" s="215"/>
      <c r="W92" s="76"/>
    </row>
    <row r="93" spans="1:23" s="214" customFormat="1" x14ac:dyDescent="0.25">
      <c r="A93" s="266"/>
      <c r="B93" s="266"/>
      <c r="C93" s="54"/>
      <c r="D93" s="267"/>
      <c r="E93" s="268"/>
      <c r="F93" s="55"/>
      <c r="G93" s="269"/>
      <c r="H93" s="269"/>
      <c r="I93" s="55"/>
      <c r="J93" s="269"/>
      <c r="K93" s="270"/>
      <c r="L93" s="273"/>
      <c r="M93" s="75"/>
      <c r="N93" s="75"/>
      <c r="O93" s="75"/>
      <c r="P93" s="75"/>
      <c r="Q93" s="75"/>
      <c r="R93" s="75"/>
      <c r="S93" s="215"/>
      <c r="T93" s="215"/>
      <c r="U93" s="215"/>
      <c r="V93" s="215"/>
      <c r="W93" s="76"/>
    </row>
    <row r="94" spans="1:23" s="214" customFormat="1" x14ac:dyDescent="0.25">
      <c r="A94" s="266"/>
      <c r="B94" s="266"/>
      <c r="C94" s="54"/>
      <c r="D94" s="267"/>
      <c r="E94" s="268"/>
      <c r="F94" s="55"/>
      <c r="G94" s="269"/>
      <c r="H94" s="269"/>
      <c r="I94" s="55"/>
      <c r="J94" s="269"/>
      <c r="K94" s="270"/>
      <c r="L94" s="273"/>
      <c r="M94" s="75"/>
      <c r="N94" s="75"/>
      <c r="O94" s="75"/>
      <c r="P94" s="75"/>
      <c r="Q94" s="75"/>
      <c r="R94" s="75"/>
      <c r="S94" s="215"/>
      <c r="T94" s="215"/>
      <c r="U94" s="215"/>
      <c r="V94" s="215"/>
      <c r="W94" s="76"/>
    </row>
    <row r="95" spans="1:23" s="214" customFormat="1" x14ac:dyDescent="0.25">
      <c r="A95" s="266"/>
      <c r="B95" s="266"/>
      <c r="C95" s="54"/>
      <c r="D95" s="267"/>
      <c r="E95" s="268"/>
      <c r="F95" s="55"/>
      <c r="G95" s="269"/>
      <c r="H95" s="269"/>
      <c r="I95" s="55"/>
      <c r="J95" s="269"/>
      <c r="K95" s="270"/>
      <c r="L95" s="273"/>
      <c r="M95" s="75"/>
      <c r="N95" s="75"/>
      <c r="O95" s="75"/>
      <c r="P95" s="75"/>
      <c r="Q95" s="75"/>
      <c r="R95" s="75"/>
      <c r="S95" s="215"/>
      <c r="T95" s="215"/>
      <c r="U95" s="215"/>
      <c r="V95" s="215"/>
      <c r="W95" s="76"/>
    </row>
    <row r="96" spans="1:23" s="214" customFormat="1" x14ac:dyDescent="0.25">
      <c r="A96" s="266"/>
      <c r="B96" s="266"/>
      <c r="C96" s="54"/>
      <c r="D96" s="267"/>
      <c r="E96" s="268"/>
      <c r="F96" s="55"/>
      <c r="G96" s="269"/>
      <c r="H96" s="269"/>
      <c r="I96" s="55"/>
      <c r="J96" s="269"/>
      <c r="K96" s="270"/>
      <c r="L96" s="273"/>
      <c r="M96" s="75"/>
      <c r="N96" s="75"/>
      <c r="O96" s="75"/>
      <c r="P96" s="75"/>
      <c r="Q96" s="75"/>
      <c r="R96" s="75"/>
      <c r="S96" s="215"/>
      <c r="T96" s="215"/>
      <c r="U96" s="215"/>
      <c r="V96" s="215"/>
      <c r="W96" s="76"/>
    </row>
    <row r="97" spans="1:23" s="214" customFormat="1" x14ac:dyDescent="0.25">
      <c r="A97" s="266"/>
      <c r="B97" s="266"/>
      <c r="C97" s="54"/>
      <c r="D97" s="267"/>
      <c r="E97" s="268"/>
      <c r="F97" s="55"/>
      <c r="G97" s="269"/>
      <c r="H97" s="269"/>
      <c r="I97" s="55"/>
      <c r="J97" s="269"/>
      <c r="K97" s="270"/>
      <c r="L97" s="273"/>
      <c r="M97" s="75"/>
      <c r="N97" s="75"/>
      <c r="O97" s="75"/>
      <c r="P97" s="75"/>
      <c r="Q97" s="75"/>
      <c r="R97" s="75"/>
      <c r="S97" s="215"/>
      <c r="T97" s="215"/>
      <c r="U97" s="215"/>
      <c r="V97" s="215"/>
      <c r="W97" s="76"/>
    </row>
    <row r="98" spans="1:23" s="214" customFormat="1" x14ac:dyDescent="0.25">
      <c r="A98" s="266"/>
      <c r="B98" s="266"/>
      <c r="C98" s="54"/>
      <c r="D98" s="267"/>
      <c r="E98" s="268"/>
      <c r="F98" s="55"/>
      <c r="G98" s="269"/>
      <c r="H98" s="269"/>
      <c r="I98" s="55"/>
      <c r="J98" s="269"/>
      <c r="K98" s="270"/>
      <c r="L98" s="273"/>
      <c r="M98" s="75"/>
      <c r="N98" s="75"/>
      <c r="O98" s="75"/>
      <c r="P98" s="75"/>
      <c r="Q98" s="75"/>
      <c r="R98" s="75"/>
      <c r="S98" s="215"/>
      <c r="T98" s="215"/>
      <c r="U98" s="215"/>
      <c r="V98" s="215"/>
      <c r="W98" s="76"/>
    </row>
    <row r="99" spans="1:23" s="214" customFormat="1" x14ac:dyDescent="0.25">
      <c r="A99" s="266"/>
      <c r="B99" s="266"/>
      <c r="C99" s="54"/>
      <c r="D99" s="267"/>
      <c r="E99" s="268"/>
      <c r="F99" s="55"/>
      <c r="G99" s="269"/>
      <c r="H99" s="269"/>
      <c r="I99" s="55"/>
      <c r="J99" s="269"/>
      <c r="K99" s="270"/>
      <c r="L99" s="273"/>
      <c r="M99" s="75"/>
      <c r="N99" s="75"/>
      <c r="O99" s="75"/>
      <c r="P99" s="75"/>
      <c r="Q99" s="75"/>
      <c r="R99" s="75"/>
      <c r="S99" s="215"/>
      <c r="T99" s="215"/>
      <c r="U99" s="215"/>
      <c r="V99" s="215"/>
      <c r="W99" s="76"/>
    </row>
    <row r="100" spans="1:23" s="214" customFormat="1" x14ac:dyDescent="0.25">
      <c r="A100" s="266"/>
      <c r="B100" s="266"/>
      <c r="C100" s="54"/>
      <c r="D100" s="267"/>
      <c r="E100" s="268"/>
      <c r="F100" s="55"/>
      <c r="G100" s="269"/>
      <c r="H100" s="269"/>
      <c r="I100" s="55"/>
      <c r="J100" s="269"/>
      <c r="K100" s="270"/>
      <c r="L100" s="273"/>
      <c r="M100" s="75"/>
      <c r="N100" s="75"/>
      <c r="O100" s="75"/>
      <c r="P100" s="75"/>
      <c r="Q100" s="75"/>
      <c r="R100" s="75"/>
      <c r="S100" s="215"/>
      <c r="T100" s="215"/>
      <c r="U100" s="215"/>
      <c r="V100" s="215"/>
      <c r="W100" s="76"/>
    </row>
    <row r="101" spans="1:23" s="214" customFormat="1" x14ac:dyDescent="0.25">
      <c r="A101" s="266"/>
      <c r="B101" s="266"/>
      <c r="C101" s="54"/>
      <c r="D101" s="267"/>
      <c r="E101" s="268"/>
      <c r="F101" s="55"/>
      <c r="G101" s="269"/>
      <c r="H101" s="269"/>
      <c r="I101" s="55"/>
      <c r="J101" s="269"/>
      <c r="K101" s="270"/>
      <c r="L101" s="273"/>
      <c r="M101" s="75"/>
      <c r="N101" s="75"/>
      <c r="O101" s="75"/>
      <c r="P101" s="75"/>
      <c r="Q101" s="75"/>
      <c r="R101" s="75"/>
      <c r="S101" s="215"/>
      <c r="T101" s="215"/>
      <c r="U101" s="215"/>
      <c r="V101" s="215"/>
      <c r="W101" s="76"/>
    </row>
    <row r="102" spans="1:23" s="214" customFormat="1" x14ac:dyDescent="0.25">
      <c r="A102" s="266"/>
      <c r="B102" s="266"/>
      <c r="C102" s="54"/>
      <c r="D102" s="267"/>
      <c r="E102" s="268"/>
      <c r="F102" s="55"/>
      <c r="G102" s="269"/>
      <c r="H102" s="269"/>
      <c r="I102" s="55"/>
      <c r="J102" s="269"/>
      <c r="K102" s="270"/>
      <c r="L102" s="273"/>
      <c r="M102" s="75"/>
      <c r="N102" s="75"/>
      <c r="O102" s="75"/>
      <c r="P102" s="75"/>
      <c r="Q102" s="75"/>
      <c r="R102" s="75"/>
      <c r="S102" s="215"/>
      <c r="T102" s="215"/>
      <c r="U102" s="215"/>
      <c r="V102" s="215"/>
      <c r="W102" s="76"/>
    </row>
    <row r="103" spans="1:23" s="214" customFormat="1" x14ac:dyDescent="0.25">
      <c r="A103" s="266"/>
      <c r="B103" s="266"/>
      <c r="C103" s="54"/>
      <c r="D103" s="267"/>
      <c r="E103" s="268"/>
      <c r="F103" s="55"/>
      <c r="G103" s="269"/>
      <c r="H103" s="269"/>
      <c r="I103" s="55"/>
      <c r="J103" s="269"/>
      <c r="K103" s="270"/>
      <c r="L103" s="273"/>
      <c r="M103" s="75"/>
      <c r="N103" s="75"/>
      <c r="O103" s="75"/>
      <c r="P103" s="75"/>
      <c r="Q103" s="75"/>
      <c r="R103" s="75"/>
      <c r="S103" s="215"/>
      <c r="T103" s="215"/>
      <c r="U103" s="215"/>
      <c r="V103" s="215"/>
      <c r="W103" s="76"/>
    </row>
    <row r="104" spans="1:23" s="214" customFormat="1" x14ac:dyDescent="0.25">
      <c r="A104" s="266"/>
      <c r="B104" s="266"/>
      <c r="C104" s="54"/>
      <c r="D104" s="267"/>
      <c r="E104" s="268"/>
      <c r="F104" s="55"/>
      <c r="G104" s="269"/>
      <c r="H104" s="269"/>
      <c r="I104" s="55"/>
      <c r="J104" s="269"/>
      <c r="K104" s="270"/>
      <c r="L104" s="273"/>
      <c r="M104" s="75"/>
      <c r="N104" s="75"/>
      <c r="O104" s="75"/>
      <c r="P104" s="75"/>
      <c r="Q104" s="75"/>
      <c r="R104" s="75"/>
      <c r="S104" s="215"/>
      <c r="T104" s="215"/>
      <c r="U104" s="215"/>
      <c r="V104" s="215"/>
      <c r="W104" s="76"/>
    </row>
    <row r="105" spans="1:23" s="214" customFormat="1" x14ac:dyDescent="0.25">
      <c r="A105" s="266"/>
      <c r="B105" s="266"/>
      <c r="C105" s="54"/>
      <c r="D105" s="267"/>
      <c r="E105" s="268"/>
      <c r="F105" s="55"/>
      <c r="G105" s="269"/>
      <c r="H105" s="269"/>
      <c r="I105" s="55"/>
      <c r="J105" s="269"/>
      <c r="K105" s="270"/>
      <c r="L105" s="273"/>
      <c r="M105" s="75"/>
      <c r="N105" s="75"/>
      <c r="O105" s="75"/>
      <c r="P105" s="75"/>
      <c r="Q105" s="75"/>
      <c r="R105" s="75"/>
      <c r="S105" s="215"/>
      <c r="T105" s="215"/>
      <c r="U105" s="215"/>
      <c r="V105" s="215"/>
      <c r="W105" s="76"/>
    </row>
    <row r="106" spans="1:23" s="214" customFormat="1" x14ac:dyDescent="0.25">
      <c r="A106" s="266"/>
      <c r="B106" s="266"/>
      <c r="C106" s="54"/>
      <c r="D106" s="267"/>
      <c r="E106" s="268"/>
      <c r="F106" s="55"/>
      <c r="G106" s="269"/>
      <c r="H106" s="269"/>
      <c r="I106" s="55"/>
      <c r="J106" s="269"/>
      <c r="K106" s="270"/>
      <c r="L106" s="273"/>
      <c r="M106" s="75"/>
      <c r="N106" s="75"/>
      <c r="O106" s="75"/>
      <c r="P106" s="75"/>
      <c r="Q106" s="75"/>
      <c r="R106" s="75"/>
      <c r="S106" s="215"/>
      <c r="T106" s="215"/>
      <c r="U106" s="215"/>
      <c r="V106" s="215"/>
      <c r="W106" s="76"/>
    </row>
    <row r="107" spans="1:23" s="214" customFormat="1" x14ac:dyDescent="0.25">
      <c r="A107" s="266"/>
      <c r="B107" s="266"/>
      <c r="C107" s="54"/>
      <c r="D107" s="267"/>
      <c r="E107" s="268"/>
      <c r="F107" s="55"/>
      <c r="G107" s="269"/>
      <c r="H107" s="269"/>
      <c r="I107" s="55"/>
      <c r="J107" s="269"/>
      <c r="K107" s="270"/>
      <c r="L107" s="273"/>
      <c r="M107" s="75"/>
      <c r="N107" s="75"/>
      <c r="O107" s="75"/>
      <c r="P107" s="75"/>
      <c r="Q107" s="75"/>
      <c r="R107" s="75"/>
      <c r="S107" s="215"/>
      <c r="T107" s="215"/>
      <c r="U107" s="215"/>
      <c r="V107" s="215"/>
      <c r="W107" s="76"/>
    </row>
    <row r="108" spans="1:23" s="214" customFormat="1" x14ac:dyDescent="0.25">
      <c r="A108" s="266"/>
      <c r="B108" s="266"/>
      <c r="C108" s="54"/>
      <c r="D108" s="267"/>
      <c r="E108" s="268"/>
      <c r="F108" s="55"/>
      <c r="G108" s="269"/>
      <c r="H108" s="269"/>
      <c r="I108" s="55"/>
      <c r="J108" s="269"/>
      <c r="K108" s="270"/>
      <c r="L108" s="273"/>
      <c r="M108" s="75"/>
      <c r="N108" s="75"/>
      <c r="O108" s="75"/>
      <c r="P108" s="75"/>
      <c r="Q108" s="75"/>
      <c r="R108" s="75"/>
      <c r="S108" s="215"/>
      <c r="T108" s="215"/>
      <c r="U108" s="215"/>
      <c r="V108" s="215"/>
      <c r="W108" s="76"/>
    </row>
    <row r="109" spans="1:23" s="214" customFormat="1" x14ac:dyDescent="0.25">
      <c r="A109" s="266"/>
      <c r="B109" s="266"/>
      <c r="C109" s="54"/>
      <c r="D109" s="267"/>
      <c r="E109" s="268"/>
      <c r="F109" s="55"/>
      <c r="G109" s="269"/>
      <c r="H109" s="269"/>
      <c r="I109" s="55"/>
      <c r="J109" s="269"/>
      <c r="K109" s="270"/>
      <c r="L109" s="273"/>
      <c r="M109" s="75"/>
      <c r="N109" s="75"/>
      <c r="O109" s="75"/>
      <c r="P109" s="75"/>
      <c r="Q109" s="75"/>
      <c r="R109" s="75"/>
      <c r="S109" s="215"/>
      <c r="T109" s="215"/>
      <c r="U109" s="215"/>
      <c r="V109" s="215"/>
      <c r="W109" s="76"/>
    </row>
    <row r="110" spans="1:23" s="214" customFormat="1" x14ac:dyDescent="0.25">
      <c r="A110" s="266"/>
      <c r="B110" s="266"/>
      <c r="C110" s="54"/>
      <c r="D110" s="267"/>
      <c r="E110" s="268"/>
      <c r="F110" s="55"/>
      <c r="G110" s="269"/>
      <c r="H110" s="269"/>
      <c r="I110" s="55"/>
      <c r="J110" s="269"/>
      <c r="K110" s="270"/>
      <c r="L110" s="273"/>
      <c r="M110" s="75"/>
      <c r="N110" s="75"/>
      <c r="O110" s="75"/>
      <c r="P110" s="75"/>
      <c r="Q110" s="75"/>
      <c r="R110" s="75"/>
      <c r="S110" s="215"/>
      <c r="T110" s="215"/>
      <c r="U110" s="215"/>
      <c r="V110" s="215"/>
      <c r="W110" s="76"/>
    </row>
    <row r="111" spans="1:23" s="214" customFormat="1" x14ac:dyDescent="0.25">
      <c r="A111" s="266"/>
      <c r="B111" s="266"/>
      <c r="C111" s="54"/>
      <c r="D111" s="267"/>
      <c r="E111" s="268"/>
      <c r="F111" s="55"/>
      <c r="G111" s="269"/>
      <c r="H111" s="269"/>
      <c r="I111" s="55"/>
      <c r="J111" s="269"/>
      <c r="K111" s="270"/>
      <c r="L111" s="273"/>
      <c r="M111" s="75"/>
      <c r="N111" s="75"/>
      <c r="O111" s="75"/>
      <c r="P111" s="75"/>
      <c r="Q111" s="75"/>
      <c r="R111" s="75"/>
      <c r="S111" s="215"/>
      <c r="T111" s="215"/>
      <c r="U111" s="215"/>
      <c r="V111" s="215"/>
      <c r="W111" s="76"/>
    </row>
    <row r="112" spans="1:23" s="214" customFormat="1" x14ac:dyDescent="0.25">
      <c r="A112" s="266"/>
      <c r="B112" s="266"/>
      <c r="C112" s="54"/>
      <c r="D112" s="267"/>
      <c r="E112" s="268"/>
      <c r="F112" s="55"/>
      <c r="G112" s="269"/>
      <c r="H112" s="269"/>
      <c r="I112" s="55"/>
      <c r="J112" s="269"/>
      <c r="K112" s="270"/>
      <c r="L112" s="273"/>
      <c r="M112" s="75"/>
      <c r="N112" s="75"/>
      <c r="O112" s="75"/>
      <c r="P112" s="75"/>
      <c r="Q112" s="75"/>
      <c r="R112" s="75"/>
      <c r="S112" s="215"/>
      <c r="T112" s="215"/>
      <c r="U112" s="215"/>
      <c r="V112" s="215"/>
      <c r="W112" s="76"/>
    </row>
    <row r="113" spans="1:23" s="214" customFormat="1" x14ac:dyDescent="0.25">
      <c r="A113" s="266"/>
      <c r="B113" s="266"/>
      <c r="C113" s="54"/>
      <c r="D113" s="267"/>
      <c r="E113" s="268"/>
      <c r="F113" s="55"/>
      <c r="G113" s="269"/>
      <c r="H113" s="269"/>
      <c r="I113" s="55"/>
      <c r="J113" s="269"/>
      <c r="K113" s="270"/>
      <c r="L113" s="273"/>
      <c r="M113" s="75"/>
      <c r="N113" s="75"/>
      <c r="O113" s="75"/>
      <c r="P113" s="75"/>
      <c r="Q113" s="75"/>
      <c r="R113" s="75"/>
      <c r="S113" s="215"/>
      <c r="T113" s="215"/>
      <c r="U113" s="215"/>
      <c r="V113" s="215"/>
      <c r="W113" s="76"/>
    </row>
    <row r="114" spans="1:23" s="214" customFormat="1" x14ac:dyDescent="0.25">
      <c r="A114" s="266"/>
      <c r="B114" s="266"/>
      <c r="C114" s="54"/>
      <c r="D114" s="267"/>
      <c r="E114" s="268"/>
      <c r="F114" s="55"/>
      <c r="G114" s="269"/>
      <c r="H114" s="269"/>
      <c r="I114" s="55"/>
      <c r="J114" s="269"/>
      <c r="K114" s="270"/>
      <c r="L114" s="273"/>
      <c r="M114" s="75"/>
      <c r="N114" s="75"/>
      <c r="O114" s="75"/>
      <c r="P114" s="75"/>
      <c r="Q114" s="75"/>
      <c r="R114" s="75"/>
      <c r="S114" s="215"/>
      <c r="T114" s="215"/>
      <c r="U114" s="215"/>
      <c r="V114" s="215"/>
      <c r="W114" s="76"/>
    </row>
    <row r="115" spans="1:23" s="214" customFormat="1" x14ac:dyDescent="0.25">
      <c r="A115" s="266"/>
      <c r="B115" s="266"/>
      <c r="C115" s="54"/>
      <c r="D115" s="267"/>
      <c r="E115" s="268"/>
      <c r="F115" s="55"/>
      <c r="G115" s="269"/>
      <c r="H115" s="269"/>
      <c r="I115" s="55"/>
      <c r="J115" s="269"/>
      <c r="K115" s="270"/>
      <c r="L115" s="273"/>
      <c r="M115" s="75"/>
      <c r="N115" s="75"/>
      <c r="O115" s="75"/>
      <c r="P115" s="75"/>
      <c r="Q115" s="75"/>
      <c r="R115" s="75"/>
      <c r="S115" s="215"/>
      <c r="T115" s="215"/>
      <c r="U115" s="215"/>
      <c r="V115" s="215"/>
      <c r="W115" s="76"/>
    </row>
    <row r="116" spans="1:23" s="214" customFormat="1" x14ac:dyDescent="0.25">
      <c r="A116" s="266"/>
      <c r="B116" s="266"/>
      <c r="C116" s="54"/>
      <c r="D116" s="267"/>
      <c r="E116" s="268"/>
      <c r="F116" s="55"/>
      <c r="G116" s="269"/>
      <c r="H116" s="269"/>
      <c r="I116" s="55"/>
      <c r="J116" s="269"/>
      <c r="K116" s="270"/>
      <c r="L116" s="273"/>
      <c r="M116" s="75"/>
      <c r="N116" s="75"/>
      <c r="O116" s="75"/>
      <c r="P116" s="75"/>
      <c r="Q116" s="75"/>
      <c r="R116" s="75"/>
      <c r="S116" s="215"/>
      <c r="T116" s="215"/>
      <c r="U116" s="215"/>
      <c r="V116" s="215"/>
      <c r="W116" s="76"/>
    </row>
    <row r="117" spans="1:23" s="214" customFormat="1" x14ac:dyDescent="0.25">
      <c r="A117" s="266"/>
      <c r="B117" s="266"/>
      <c r="C117" s="54"/>
      <c r="D117" s="267"/>
      <c r="E117" s="268"/>
      <c r="F117" s="55"/>
      <c r="G117" s="269"/>
      <c r="H117" s="269"/>
      <c r="I117" s="55"/>
      <c r="J117" s="269"/>
      <c r="K117" s="270"/>
      <c r="L117" s="273"/>
      <c r="M117" s="75"/>
      <c r="N117" s="75"/>
      <c r="O117" s="75"/>
      <c r="P117" s="75"/>
      <c r="Q117" s="75"/>
      <c r="R117" s="75"/>
      <c r="S117" s="215"/>
      <c r="T117" s="215"/>
      <c r="U117" s="215"/>
      <c r="V117" s="215"/>
      <c r="W117" s="76"/>
    </row>
    <row r="118" spans="1:23" s="214" customFormat="1" x14ac:dyDescent="0.25">
      <c r="A118" s="266"/>
      <c r="B118" s="266"/>
      <c r="C118" s="54"/>
      <c r="D118" s="267"/>
      <c r="E118" s="268"/>
      <c r="F118" s="55"/>
      <c r="G118" s="269"/>
      <c r="H118" s="269"/>
      <c r="I118" s="55"/>
      <c r="J118" s="269"/>
      <c r="K118" s="270"/>
      <c r="L118" s="273"/>
      <c r="M118" s="75"/>
      <c r="N118" s="75"/>
      <c r="O118" s="75"/>
      <c r="P118" s="75"/>
      <c r="Q118" s="75"/>
      <c r="R118" s="75"/>
      <c r="S118" s="215"/>
      <c r="T118" s="215"/>
      <c r="U118" s="215"/>
      <c r="V118" s="215"/>
      <c r="W118" s="76"/>
    </row>
    <row r="119" spans="1:23" s="214" customFormat="1" x14ac:dyDescent="0.25">
      <c r="A119" s="266"/>
      <c r="B119" s="266"/>
      <c r="C119" s="54"/>
      <c r="D119" s="267"/>
      <c r="E119" s="268"/>
      <c r="F119" s="55"/>
      <c r="G119" s="269"/>
      <c r="H119" s="269"/>
      <c r="I119" s="55"/>
      <c r="J119" s="269"/>
      <c r="K119" s="270"/>
      <c r="L119" s="273"/>
      <c r="M119" s="75"/>
      <c r="N119" s="75"/>
      <c r="O119" s="75"/>
      <c r="P119" s="75"/>
      <c r="Q119" s="75"/>
      <c r="R119" s="75"/>
      <c r="S119" s="215"/>
      <c r="T119" s="215"/>
      <c r="U119" s="215"/>
      <c r="V119" s="215"/>
      <c r="W119" s="76"/>
    </row>
    <row r="120" spans="1:23" s="214" customFormat="1" x14ac:dyDescent="0.25">
      <c r="A120" s="266"/>
      <c r="B120" s="266"/>
      <c r="C120" s="54"/>
      <c r="D120" s="267"/>
      <c r="E120" s="268"/>
      <c r="F120" s="55"/>
      <c r="G120" s="269"/>
      <c r="H120" s="269"/>
      <c r="I120" s="55"/>
      <c r="J120" s="269"/>
      <c r="K120" s="270"/>
      <c r="L120" s="273"/>
      <c r="M120" s="75"/>
      <c r="N120" s="75"/>
      <c r="O120" s="75"/>
      <c r="P120" s="75"/>
      <c r="Q120" s="75"/>
      <c r="R120" s="75"/>
      <c r="S120" s="215"/>
      <c r="T120" s="215"/>
      <c r="U120" s="215"/>
      <c r="V120" s="215"/>
      <c r="W120" s="76"/>
    </row>
    <row r="121" spans="1:23" s="214" customFormat="1" x14ac:dyDescent="0.25">
      <c r="A121" s="266"/>
      <c r="B121" s="266"/>
      <c r="C121" s="54"/>
      <c r="D121" s="267"/>
      <c r="E121" s="268"/>
      <c r="F121" s="55"/>
      <c r="G121" s="269"/>
      <c r="H121" s="269"/>
      <c r="I121" s="55"/>
      <c r="J121" s="269"/>
      <c r="K121" s="270"/>
      <c r="L121" s="273"/>
      <c r="M121" s="75"/>
      <c r="N121" s="75"/>
      <c r="O121" s="75"/>
      <c r="P121" s="75"/>
      <c r="Q121" s="75"/>
      <c r="R121" s="75"/>
      <c r="S121" s="215"/>
      <c r="T121" s="215"/>
      <c r="U121" s="215"/>
      <c r="V121" s="215"/>
      <c r="W121" s="76"/>
    </row>
    <row r="122" spans="1:23" s="214" customFormat="1" x14ac:dyDescent="0.25">
      <c r="A122" s="266"/>
      <c r="B122" s="266"/>
      <c r="C122" s="54"/>
      <c r="D122" s="267"/>
      <c r="E122" s="268"/>
      <c r="F122" s="55"/>
      <c r="G122" s="269"/>
      <c r="H122" s="269"/>
      <c r="I122" s="55"/>
      <c r="J122" s="269"/>
      <c r="K122" s="270"/>
      <c r="L122" s="273"/>
      <c r="M122" s="75"/>
      <c r="N122" s="75"/>
      <c r="O122" s="75"/>
      <c r="P122" s="75"/>
      <c r="Q122" s="75"/>
      <c r="R122" s="75"/>
      <c r="S122" s="215"/>
      <c r="T122" s="215"/>
      <c r="U122" s="215"/>
      <c r="V122" s="215"/>
      <c r="W122" s="76"/>
    </row>
    <row r="123" spans="1:23" s="214" customFormat="1" x14ac:dyDescent="0.25">
      <c r="A123" s="266"/>
      <c r="B123" s="266"/>
      <c r="C123" s="54"/>
      <c r="D123" s="267"/>
      <c r="E123" s="268"/>
      <c r="F123" s="55"/>
      <c r="G123" s="269"/>
      <c r="H123" s="269"/>
      <c r="I123" s="55"/>
      <c r="J123" s="269"/>
      <c r="K123" s="270"/>
      <c r="L123" s="273"/>
      <c r="M123" s="75"/>
      <c r="N123" s="75"/>
      <c r="O123" s="75"/>
      <c r="P123" s="75"/>
      <c r="Q123" s="75"/>
      <c r="R123" s="75"/>
      <c r="S123" s="215"/>
      <c r="T123" s="215"/>
      <c r="U123" s="215"/>
      <c r="V123" s="215"/>
      <c r="W123" s="76"/>
    </row>
    <row r="124" spans="1:23" s="214" customFormat="1" x14ac:dyDescent="0.25">
      <c r="A124" s="266"/>
      <c r="B124" s="266"/>
      <c r="C124" s="54"/>
      <c r="D124" s="267"/>
      <c r="E124" s="268"/>
      <c r="F124" s="55"/>
      <c r="G124" s="269"/>
      <c r="H124" s="269"/>
      <c r="I124" s="55"/>
      <c r="J124" s="269"/>
      <c r="K124" s="270"/>
      <c r="L124" s="273"/>
      <c r="M124" s="75"/>
      <c r="N124" s="75"/>
      <c r="O124" s="75"/>
      <c r="P124" s="75"/>
      <c r="Q124" s="75"/>
      <c r="R124" s="75"/>
      <c r="S124" s="215"/>
      <c r="T124" s="215"/>
      <c r="U124" s="215"/>
      <c r="V124" s="215"/>
      <c r="W124" s="76"/>
    </row>
    <row r="125" spans="1:23" s="214" customFormat="1" x14ac:dyDescent="0.25">
      <c r="A125" s="266"/>
      <c r="B125" s="266"/>
      <c r="C125" s="54"/>
      <c r="D125" s="267"/>
      <c r="E125" s="268"/>
      <c r="F125" s="55"/>
      <c r="G125" s="269"/>
      <c r="H125" s="269"/>
      <c r="I125" s="55"/>
      <c r="J125" s="269"/>
      <c r="K125" s="270"/>
      <c r="L125" s="273"/>
      <c r="M125" s="75"/>
      <c r="N125" s="75"/>
      <c r="O125" s="75"/>
      <c r="P125" s="75"/>
      <c r="Q125" s="75"/>
      <c r="R125" s="75"/>
      <c r="S125" s="215"/>
      <c r="T125" s="215"/>
      <c r="U125" s="215"/>
      <c r="V125" s="215"/>
      <c r="W125" s="76"/>
    </row>
    <row r="126" spans="1:23" s="214" customFormat="1" x14ac:dyDescent="0.25">
      <c r="A126" s="266"/>
      <c r="B126" s="266"/>
      <c r="C126" s="54"/>
      <c r="D126" s="267"/>
      <c r="E126" s="268"/>
      <c r="F126" s="55"/>
      <c r="G126" s="269"/>
      <c r="H126" s="269"/>
      <c r="I126" s="55"/>
      <c r="J126" s="269"/>
      <c r="K126" s="270"/>
      <c r="L126" s="273"/>
      <c r="M126" s="75"/>
      <c r="N126" s="75"/>
      <c r="O126" s="75"/>
      <c r="P126" s="75"/>
      <c r="Q126" s="75"/>
      <c r="R126" s="75"/>
      <c r="S126" s="215"/>
      <c r="T126" s="215"/>
      <c r="U126" s="215"/>
      <c r="V126" s="215"/>
      <c r="W126" s="76"/>
    </row>
    <row r="127" spans="1:23" s="214" customFormat="1" x14ac:dyDescent="0.25">
      <c r="A127" s="266"/>
      <c r="B127" s="266"/>
      <c r="C127" s="54"/>
      <c r="D127" s="267"/>
      <c r="E127" s="268"/>
      <c r="F127" s="55"/>
      <c r="G127" s="269"/>
      <c r="H127" s="269"/>
      <c r="I127" s="55"/>
      <c r="J127" s="269"/>
      <c r="K127" s="270"/>
      <c r="L127" s="273"/>
      <c r="M127" s="75"/>
      <c r="N127" s="75"/>
      <c r="O127" s="75"/>
      <c r="P127" s="75"/>
      <c r="Q127" s="75"/>
      <c r="R127" s="75"/>
      <c r="S127" s="215"/>
      <c r="T127" s="215"/>
      <c r="U127" s="215"/>
      <c r="V127" s="215"/>
      <c r="W127" s="76"/>
    </row>
    <row r="128" spans="1:23" s="214" customFormat="1" x14ac:dyDescent="0.25">
      <c r="A128" s="266"/>
      <c r="B128" s="266"/>
      <c r="C128" s="54"/>
      <c r="D128" s="267"/>
      <c r="E128" s="268"/>
      <c r="F128" s="55"/>
      <c r="G128" s="269"/>
      <c r="H128" s="269"/>
      <c r="I128" s="55"/>
      <c r="J128" s="269"/>
      <c r="K128" s="270"/>
      <c r="L128" s="273"/>
      <c r="M128" s="75"/>
      <c r="N128" s="75"/>
      <c r="O128" s="75"/>
      <c r="P128" s="75"/>
      <c r="Q128" s="75"/>
      <c r="R128" s="75"/>
      <c r="S128" s="215"/>
      <c r="T128" s="215"/>
      <c r="U128" s="215"/>
      <c r="V128" s="215"/>
      <c r="W128" s="76"/>
    </row>
    <row r="129" spans="1:23" s="214" customFormat="1" x14ac:dyDescent="0.25">
      <c r="A129" s="266"/>
      <c r="B129" s="266"/>
      <c r="C129" s="54"/>
      <c r="D129" s="267"/>
      <c r="E129" s="268"/>
      <c r="F129" s="55"/>
      <c r="G129" s="269"/>
      <c r="H129" s="269"/>
      <c r="I129" s="55"/>
      <c r="J129" s="269"/>
      <c r="K129" s="270"/>
      <c r="L129" s="273"/>
      <c r="M129" s="75"/>
      <c r="N129" s="75"/>
      <c r="O129" s="75"/>
      <c r="P129" s="75"/>
      <c r="Q129" s="75"/>
      <c r="R129" s="75"/>
      <c r="S129" s="215"/>
      <c r="T129" s="215"/>
      <c r="U129" s="215"/>
      <c r="V129" s="215"/>
      <c r="W129" s="76"/>
    </row>
    <row r="130" spans="1:23" s="214" customFormat="1" x14ac:dyDescent="0.25">
      <c r="A130" s="266"/>
      <c r="B130" s="266"/>
      <c r="C130" s="54"/>
      <c r="D130" s="267"/>
      <c r="E130" s="268"/>
      <c r="F130" s="55"/>
      <c r="G130" s="269"/>
      <c r="H130" s="269"/>
      <c r="I130" s="55"/>
      <c r="J130" s="269"/>
      <c r="K130" s="270"/>
      <c r="L130" s="273"/>
      <c r="M130" s="75"/>
      <c r="N130" s="75"/>
      <c r="O130" s="75"/>
      <c r="P130" s="75"/>
      <c r="Q130" s="75"/>
      <c r="R130" s="75"/>
      <c r="S130" s="215"/>
      <c r="T130" s="215"/>
      <c r="U130" s="215"/>
      <c r="V130" s="215"/>
      <c r="W130" s="76"/>
    </row>
    <row r="131" spans="1:23" s="214" customFormat="1" x14ac:dyDescent="0.25">
      <c r="A131" s="266"/>
      <c r="B131" s="266"/>
      <c r="C131" s="54"/>
      <c r="D131" s="267"/>
      <c r="E131" s="268"/>
      <c r="F131" s="55"/>
      <c r="G131" s="269"/>
      <c r="H131" s="269"/>
      <c r="I131" s="55"/>
      <c r="J131" s="269"/>
      <c r="K131" s="270"/>
      <c r="L131" s="273"/>
      <c r="M131" s="75"/>
      <c r="N131" s="75"/>
      <c r="O131" s="75"/>
      <c r="P131" s="75"/>
      <c r="Q131" s="75"/>
      <c r="R131" s="75"/>
      <c r="S131" s="215"/>
      <c r="T131" s="215"/>
      <c r="U131" s="215"/>
      <c r="V131" s="215"/>
      <c r="W131" s="76"/>
    </row>
    <row r="132" spans="1:23" s="214" customFormat="1" x14ac:dyDescent="0.25">
      <c r="A132" s="266"/>
      <c r="B132" s="266"/>
      <c r="C132" s="54"/>
      <c r="D132" s="267"/>
      <c r="E132" s="268"/>
      <c r="F132" s="55"/>
      <c r="G132" s="269"/>
      <c r="H132" s="269"/>
      <c r="I132" s="55"/>
      <c r="J132" s="269"/>
      <c r="K132" s="270"/>
      <c r="L132" s="273"/>
      <c r="M132" s="75"/>
      <c r="N132" s="75"/>
      <c r="O132" s="75"/>
      <c r="P132" s="75"/>
      <c r="Q132" s="75"/>
      <c r="R132" s="75"/>
      <c r="S132" s="215"/>
      <c r="T132" s="215"/>
      <c r="U132" s="215"/>
      <c r="V132" s="215"/>
      <c r="W132" s="76"/>
    </row>
    <row r="133" spans="1:23" s="214" customFormat="1" x14ac:dyDescent="0.25">
      <c r="A133" s="266"/>
      <c r="B133" s="266"/>
      <c r="C133" s="54"/>
      <c r="D133" s="267"/>
      <c r="E133" s="268"/>
      <c r="F133" s="55"/>
      <c r="G133" s="269"/>
      <c r="H133" s="269"/>
      <c r="I133" s="55"/>
      <c r="J133" s="269"/>
      <c r="K133" s="270"/>
      <c r="L133" s="273"/>
      <c r="M133" s="75"/>
      <c r="N133" s="75"/>
      <c r="O133" s="75"/>
      <c r="P133" s="75"/>
      <c r="Q133" s="75"/>
      <c r="R133" s="75"/>
      <c r="S133" s="215"/>
      <c r="T133" s="215"/>
      <c r="U133" s="215"/>
      <c r="V133" s="215"/>
      <c r="W133" s="76"/>
    </row>
    <row r="134" spans="1:23" s="214" customFormat="1" x14ac:dyDescent="0.25">
      <c r="A134" s="266"/>
      <c r="B134" s="266"/>
      <c r="C134" s="54"/>
      <c r="D134" s="267"/>
      <c r="E134" s="268"/>
      <c r="F134" s="55"/>
      <c r="G134" s="269"/>
      <c r="H134" s="269"/>
      <c r="I134" s="55"/>
      <c r="J134" s="269"/>
      <c r="K134" s="270"/>
      <c r="L134" s="273"/>
      <c r="M134" s="75"/>
      <c r="N134" s="75"/>
      <c r="O134" s="75"/>
      <c r="P134" s="75"/>
      <c r="Q134" s="75"/>
      <c r="R134" s="75"/>
      <c r="S134" s="215"/>
      <c r="T134" s="215"/>
      <c r="U134" s="215"/>
      <c r="V134" s="215"/>
      <c r="W134" s="76"/>
    </row>
    <row r="135" spans="1:23" s="214" customFormat="1" x14ac:dyDescent="0.25">
      <c r="A135" s="266"/>
      <c r="B135" s="266"/>
      <c r="C135" s="54"/>
      <c r="D135" s="267"/>
      <c r="E135" s="268"/>
      <c r="F135" s="55"/>
      <c r="G135" s="269"/>
      <c r="H135" s="269"/>
      <c r="I135" s="55"/>
      <c r="J135" s="269"/>
      <c r="K135" s="270"/>
      <c r="L135" s="273"/>
      <c r="M135" s="75"/>
      <c r="N135" s="75"/>
      <c r="O135" s="75"/>
      <c r="P135" s="75"/>
      <c r="Q135" s="75"/>
      <c r="R135" s="75"/>
      <c r="S135" s="215"/>
      <c r="T135" s="215"/>
      <c r="U135" s="215"/>
      <c r="V135" s="215"/>
      <c r="W135" s="76"/>
    </row>
    <row r="136" spans="1:23" s="214" customFormat="1" x14ac:dyDescent="0.25">
      <c r="A136" s="266"/>
      <c r="B136" s="266"/>
      <c r="C136" s="54"/>
      <c r="D136" s="267"/>
      <c r="E136" s="268"/>
      <c r="F136" s="55"/>
      <c r="G136" s="269"/>
      <c r="H136" s="269"/>
      <c r="I136" s="55"/>
      <c r="J136" s="269"/>
      <c r="K136" s="270"/>
      <c r="L136" s="273"/>
      <c r="M136" s="75"/>
      <c r="N136" s="75"/>
      <c r="O136" s="75"/>
      <c r="P136" s="75"/>
      <c r="Q136" s="75"/>
      <c r="R136" s="75"/>
      <c r="S136" s="215"/>
      <c r="T136" s="215"/>
      <c r="U136" s="215"/>
      <c r="V136" s="215"/>
      <c r="W136" s="76"/>
    </row>
    <row r="137" spans="1:23" s="214" customFormat="1" x14ac:dyDescent="0.25">
      <c r="A137" s="266"/>
      <c r="B137" s="266"/>
      <c r="C137" s="54"/>
      <c r="D137" s="267"/>
      <c r="E137" s="268"/>
      <c r="F137" s="55"/>
      <c r="G137" s="269"/>
      <c r="H137" s="269"/>
      <c r="I137" s="55"/>
      <c r="J137" s="269"/>
      <c r="K137" s="270"/>
      <c r="L137" s="273"/>
      <c r="M137" s="75"/>
      <c r="N137" s="75"/>
      <c r="O137" s="75"/>
      <c r="P137" s="75"/>
      <c r="Q137" s="75"/>
      <c r="R137" s="75"/>
      <c r="S137" s="215"/>
      <c r="T137" s="215"/>
      <c r="U137" s="215"/>
      <c r="V137" s="215"/>
      <c r="W137" s="76"/>
    </row>
    <row r="138" spans="1:23" s="214" customFormat="1" x14ac:dyDescent="0.25">
      <c r="A138" s="266"/>
      <c r="B138" s="266"/>
      <c r="C138" s="54"/>
      <c r="D138" s="267"/>
      <c r="E138" s="268"/>
      <c r="F138" s="55"/>
      <c r="G138" s="269"/>
      <c r="H138" s="269"/>
      <c r="I138" s="55"/>
      <c r="J138" s="269"/>
      <c r="K138" s="270"/>
      <c r="L138" s="273"/>
      <c r="M138" s="75"/>
      <c r="N138" s="75"/>
      <c r="O138" s="75"/>
      <c r="P138" s="75"/>
      <c r="Q138" s="75"/>
      <c r="R138" s="75"/>
      <c r="S138" s="215"/>
      <c r="T138" s="215"/>
      <c r="U138" s="215"/>
      <c r="V138" s="215"/>
      <c r="W138" s="76"/>
    </row>
    <row r="139" spans="1:23" s="214" customFormat="1" x14ac:dyDescent="0.25">
      <c r="A139" s="266"/>
      <c r="B139" s="266"/>
      <c r="C139" s="54"/>
      <c r="D139" s="267"/>
      <c r="E139" s="268"/>
      <c r="F139" s="55"/>
      <c r="G139" s="269"/>
      <c r="H139" s="269"/>
      <c r="I139" s="55"/>
      <c r="J139" s="269"/>
      <c r="K139" s="270"/>
      <c r="L139" s="273"/>
      <c r="M139" s="75"/>
      <c r="N139" s="75"/>
      <c r="O139" s="75"/>
      <c r="P139" s="75"/>
      <c r="Q139" s="75"/>
      <c r="R139" s="75"/>
      <c r="S139" s="215"/>
      <c r="T139" s="215"/>
      <c r="U139" s="215"/>
      <c r="V139" s="215"/>
      <c r="W139" s="76"/>
    </row>
    <row r="140" spans="1:23" s="214" customFormat="1" x14ac:dyDescent="0.25">
      <c r="A140" s="266"/>
      <c r="B140" s="266"/>
      <c r="C140" s="54"/>
      <c r="D140" s="267"/>
      <c r="E140" s="268"/>
      <c r="F140" s="55"/>
      <c r="G140" s="269"/>
      <c r="H140" s="269"/>
      <c r="I140" s="55"/>
      <c r="J140" s="269"/>
      <c r="K140" s="270"/>
      <c r="L140" s="273"/>
      <c r="M140" s="75"/>
      <c r="N140" s="75"/>
      <c r="O140" s="75"/>
      <c r="P140" s="75"/>
      <c r="Q140" s="75"/>
      <c r="R140" s="75"/>
      <c r="S140" s="215"/>
      <c r="T140" s="215"/>
      <c r="U140" s="215"/>
      <c r="V140" s="215"/>
      <c r="W140" s="76"/>
    </row>
    <row r="141" spans="1:23" s="214" customFormat="1" x14ac:dyDescent="0.25">
      <c r="A141" s="266"/>
      <c r="B141" s="266"/>
      <c r="C141" s="54"/>
      <c r="D141" s="267"/>
      <c r="E141" s="268"/>
      <c r="F141" s="55"/>
      <c r="G141" s="269"/>
      <c r="H141" s="269"/>
      <c r="I141" s="55"/>
      <c r="J141" s="269"/>
      <c r="K141" s="270"/>
      <c r="L141" s="273"/>
      <c r="M141" s="75"/>
      <c r="N141" s="75"/>
      <c r="O141" s="75"/>
      <c r="P141" s="75"/>
      <c r="Q141" s="75"/>
      <c r="R141" s="75"/>
      <c r="S141" s="215"/>
      <c r="T141" s="215"/>
      <c r="U141" s="215"/>
      <c r="V141" s="215"/>
      <c r="W141" s="76"/>
    </row>
    <row r="142" spans="1:23" s="214" customFormat="1" x14ac:dyDescent="0.25">
      <c r="A142" s="266"/>
      <c r="B142" s="266"/>
      <c r="C142" s="54"/>
      <c r="D142" s="267"/>
      <c r="E142" s="268"/>
      <c r="F142" s="55"/>
      <c r="G142" s="269"/>
      <c r="H142" s="269"/>
      <c r="I142" s="55"/>
      <c r="J142" s="269"/>
      <c r="K142" s="270"/>
      <c r="L142" s="273"/>
      <c r="M142" s="75"/>
      <c r="N142" s="75"/>
      <c r="O142" s="75"/>
      <c r="P142" s="75"/>
      <c r="Q142" s="75"/>
      <c r="R142" s="75"/>
      <c r="S142" s="215"/>
      <c r="T142" s="215"/>
      <c r="U142" s="215"/>
      <c r="V142" s="215"/>
      <c r="W142" s="76"/>
    </row>
    <row r="143" spans="1:23" s="214" customFormat="1" x14ac:dyDescent="0.25">
      <c r="A143" s="266"/>
      <c r="B143" s="266"/>
      <c r="C143" s="54"/>
      <c r="D143" s="267"/>
      <c r="E143" s="268"/>
      <c r="F143" s="55"/>
      <c r="G143" s="269"/>
      <c r="H143" s="269"/>
      <c r="I143" s="55"/>
      <c r="J143" s="269"/>
      <c r="K143" s="270"/>
      <c r="L143" s="273"/>
      <c r="M143" s="75"/>
      <c r="N143" s="75"/>
      <c r="O143" s="75"/>
      <c r="P143" s="75"/>
      <c r="Q143" s="75"/>
      <c r="R143" s="75"/>
      <c r="S143" s="215"/>
      <c r="T143" s="215"/>
      <c r="U143" s="215"/>
      <c r="V143" s="215"/>
      <c r="W143" s="76"/>
    </row>
    <row r="144" spans="1:23" s="214" customFormat="1" x14ac:dyDescent="0.25">
      <c r="A144" s="266"/>
      <c r="B144" s="266"/>
      <c r="C144" s="54"/>
      <c r="D144" s="267"/>
      <c r="E144" s="268"/>
      <c r="F144" s="55"/>
      <c r="G144" s="269"/>
      <c r="H144" s="269"/>
      <c r="I144" s="55"/>
      <c r="J144" s="269"/>
      <c r="K144" s="270"/>
      <c r="L144" s="273"/>
      <c r="M144" s="75"/>
      <c r="N144" s="75"/>
      <c r="O144" s="75"/>
      <c r="P144" s="75"/>
      <c r="Q144" s="75"/>
      <c r="R144" s="75"/>
      <c r="S144" s="215"/>
      <c r="T144" s="215"/>
      <c r="U144" s="215"/>
      <c r="V144" s="215"/>
      <c r="W144" s="76"/>
    </row>
    <row r="145" spans="1:23" s="214" customFormat="1" x14ac:dyDescent="0.25">
      <c r="A145" s="266"/>
      <c r="B145" s="266"/>
      <c r="C145" s="54"/>
      <c r="D145" s="267"/>
      <c r="E145" s="268"/>
      <c r="F145" s="55"/>
      <c r="G145" s="269"/>
      <c r="H145" s="269"/>
      <c r="I145" s="55"/>
      <c r="J145" s="269"/>
      <c r="K145" s="270"/>
      <c r="L145" s="273"/>
      <c r="M145" s="75"/>
      <c r="N145" s="75"/>
      <c r="O145" s="75"/>
      <c r="P145" s="75"/>
      <c r="Q145" s="75"/>
      <c r="R145" s="75"/>
      <c r="S145" s="215"/>
      <c r="T145" s="215"/>
      <c r="U145" s="215"/>
      <c r="V145" s="215"/>
      <c r="W145" s="76"/>
    </row>
    <row r="146" spans="1:23" s="214" customFormat="1" x14ac:dyDescent="0.25">
      <c r="A146" s="266"/>
      <c r="B146" s="266"/>
      <c r="C146" s="54"/>
      <c r="D146" s="267"/>
      <c r="E146" s="268"/>
      <c r="F146" s="55"/>
      <c r="G146" s="269"/>
      <c r="H146" s="269"/>
      <c r="I146" s="55"/>
      <c r="J146" s="269"/>
      <c r="K146" s="270"/>
      <c r="L146" s="273"/>
      <c r="M146" s="75"/>
      <c r="N146" s="75"/>
      <c r="O146" s="75"/>
      <c r="P146" s="75"/>
      <c r="Q146" s="75"/>
      <c r="R146" s="75"/>
      <c r="S146" s="215"/>
      <c r="T146" s="215"/>
      <c r="U146" s="215"/>
      <c r="V146" s="215"/>
      <c r="W146" s="76"/>
    </row>
    <row r="147" spans="1:23" s="214" customFormat="1" x14ac:dyDescent="0.25">
      <c r="A147" s="266"/>
      <c r="B147" s="266"/>
      <c r="C147" s="54"/>
      <c r="D147" s="267"/>
      <c r="E147" s="268"/>
      <c r="F147" s="55"/>
      <c r="G147" s="269"/>
      <c r="H147" s="269"/>
      <c r="I147" s="55"/>
      <c r="J147" s="269"/>
      <c r="K147" s="270"/>
      <c r="L147" s="273"/>
      <c r="M147" s="75"/>
      <c r="N147" s="75"/>
      <c r="O147" s="75"/>
      <c r="P147" s="75"/>
      <c r="Q147" s="75"/>
      <c r="R147" s="75"/>
      <c r="S147" s="215"/>
      <c r="T147" s="215"/>
      <c r="U147" s="215"/>
      <c r="V147" s="215"/>
      <c r="W147" s="76"/>
    </row>
    <row r="148" spans="1:23" s="214" customFormat="1" x14ac:dyDescent="0.25">
      <c r="A148" s="266"/>
      <c r="B148" s="266"/>
      <c r="C148" s="54"/>
      <c r="D148" s="267"/>
      <c r="E148" s="268"/>
      <c r="F148" s="55"/>
      <c r="G148" s="269"/>
      <c r="H148" s="269"/>
      <c r="I148" s="55"/>
      <c r="J148" s="269"/>
      <c r="K148" s="270"/>
      <c r="L148" s="273"/>
      <c r="M148" s="75"/>
      <c r="N148" s="75"/>
      <c r="O148" s="75"/>
      <c r="P148" s="75"/>
      <c r="Q148" s="75"/>
      <c r="R148" s="75"/>
      <c r="S148" s="215"/>
      <c r="T148" s="215"/>
      <c r="U148" s="215"/>
      <c r="V148" s="215"/>
      <c r="W148" s="76"/>
    </row>
    <row r="149" spans="1:23" s="214" customFormat="1" x14ac:dyDescent="0.25">
      <c r="A149" s="266"/>
      <c r="B149" s="266"/>
      <c r="C149" s="54"/>
      <c r="D149" s="267"/>
      <c r="E149" s="268"/>
      <c r="F149" s="55"/>
      <c r="G149" s="269"/>
      <c r="H149" s="269"/>
      <c r="I149" s="55"/>
      <c r="J149" s="269"/>
      <c r="K149" s="270"/>
      <c r="L149" s="273"/>
      <c r="M149" s="75"/>
      <c r="N149" s="75"/>
      <c r="O149" s="75"/>
      <c r="P149" s="75"/>
      <c r="Q149" s="75"/>
      <c r="R149" s="75"/>
      <c r="S149" s="215"/>
      <c r="T149" s="215"/>
      <c r="U149" s="215"/>
      <c r="V149" s="215"/>
      <c r="W149" s="76"/>
    </row>
    <row r="150" spans="1:23" s="214" customFormat="1" x14ac:dyDescent="0.25">
      <c r="A150" s="266"/>
      <c r="B150" s="266"/>
      <c r="C150" s="54"/>
      <c r="D150" s="267"/>
      <c r="E150" s="268"/>
      <c r="F150" s="55"/>
      <c r="G150" s="269"/>
      <c r="H150" s="269"/>
      <c r="I150" s="55"/>
      <c r="J150" s="269"/>
      <c r="K150" s="270"/>
      <c r="L150" s="273"/>
      <c r="M150" s="75"/>
      <c r="N150" s="75"/>
      <c r="O150" s="75"/>
      <c r="P150" s="75"/>
      <c r="Q150" s="75"/>
      <c r="R150" s="75"/>
      <c r="S150" s="215"/>
      <c r="T150" s="215"/>
      <c r="U150" s="215"/>
      <c r="V150" s="215"/>
      <c r="W150" s="76"/>
    </row>
    <row r="151" spans="1:23" s="214" customFormat="1" x14ac:dyDescent="0.25">
      <c r="A151" s="266"/>
      <c r="B151" s="266"/>
      <c r="C151" s="54"/>
      <c r="D151" s="267"/>
      <c r="E151" s="268"/>
      <c r="F151" s="55"/>
      <c r="G151" s="269"/>
      <c r="H151" s="269"/>
      <c r="I151" s="55"/>
      <c r="J151" s="269"/>
      <c r="K151" s="270"/>
      <c r="L151" s="273"/>
      <c r="M151" s="75"/>
      <c r="N151" s="75"/>
      <c r="O151" s="75"/>
      <c r="P151" s="75"/>
      <c r="Q151" s="75"/>
      <c r="R151" s="75"/>
      <c r="S151" s="215"/>
      <c r="T151" s="215"/>
      <c r="U151" s="215"/>
      <c r="V151" s="215"/>
      <c r="W151" s="76"/>
    </row>
    <row r="152" spans="1:23" s="214" customFormat="1" x14ac:dyDescent="0.25">
      <c r="A152" s="266"/>
      <c r="B152" s="266"/>
      <c r="C152" s="54"/>
      <c r="D152" s="267"/>
      <c r="E152" s="268"/>
      <c r="F152" s="55"/>
      <c r="G152" s="269"/>
      <c r="H152" s="269"/>
      <c r="I152" s="55"/>
      <c r="J152" s="269"/>
      <c r="K152" s="270"/>
      <c r="L152" s="273"/>
      <c r="M152" s="75"/>
      <c r="N152" s="75"/>
      <c r="O152" s="75"/>
      <c r="P152" s="75"/>
      <c r="Q152" s="75"/>
      <c r="R152" s="75"/>
      <c r="S152" s="215"/>
      <c r="T152" s="215"/>
      <c r="U152" s="215"/>
      <c r="V152" s="215"/>
      <c r="W152" s="76"/>
    </row>
    <row r="153" spans="1:23" s="214" customFormat="1" x14ac:dyDescent="0.25">
      <c r="A153" s="266"/>
      <c r="B153" s="266"/>
      <c r="C153" s="54"/>
      <c r="D153" s="267"/>
      <c r="E153" s="268"/>
      <c r="F153" s="55"/>
      <c r="G153" s="269"/>
      <c r="H153" s="269"/>
      <c r="I153" s="55"/>
      <c r="J153" s="269"/>
      <c r="K153" s="270"/>
      <c r="L153" s="273"/>
      <c r="M153" s="75"/>
      <c r="N153" s="75"/>
      <c r="O153" s="75"/>
      <c r="P153" s="75"/>
      <c r="Q153" s="75"/>
      <c r="R153" s="75"/>
      <c r="S153" s="215"/>
      <c r="T153" s="215"/>
      <c r="U153" s="215"/>
      <c r="V153" s="215"/>
      <c r="W153" s="76"/>
    </row>
    <row r="154" spans="1:23" s="214" customFormat="1" x14ac:dyDescent="0.25">
      <c r="A154" s="266"/>
      <c r="B154" s="266"/>
      <c r="C154" s="54"/>
      <c r="D154" s="267"/>
      <c r="E154" s="268"/>
      <c r="F154" s="55"/>
      <c r="G154" s="269"/>
      <c r="H154" s="269"/>
      <c r="I154" s="55"/>
      <c r="J154" s="269"/>
      <c r="K154" s="270"/>
      <c r="L154" s="273"/>
      <c r="M154" s="75"/>
      <c r="N154" s="75"/>
      <c r="O154" s="75"/>
      <c r="P154" s="75"/>
      <c r="Q154" s="75"/>
      <c r="R154" s="75"/>
      <c r="S154" s="215"/>
      <c r="T154" s="215"/>
      <c r="U154" s="215"/>
      <c r="V154" s="215"/>
      <c r="W154" s="76"/>
    </row>
    <row r="155" spans="1:23" s="214" customFormat="1" x14ac:dyDescent="0.25">
      <c r="A155" s="266"/>
      <c r="B155" s="266"/>
      <c r="C155" s="54"/>
      <c r="D155" s="267"/>
      <c r="E155" s="268"/>
      <c r="F155" s="55"/>
      <c r="G155" s="269"/>
      <c r="H155" s="269"/>
      <c r="I155" s="55"/>
      <c r="J155" s="269"/>
      <c r="K155" s="270"/>
      <c r="L155" s="273"/>
      <c r="M155" s="75"/>
      <c r="N155" s="75"/>
      <c r="O155" s="75"/>
      <c r="P155" s="75"/>
      <c r="Q155" s="75"/>
      <c r="R155" s="75"/>
      <c r="S155" s="215"/>
      <c r="T155" s="215"/>
      <c r="U155" s="215"/>
      <c r="V155" s="215"/>
      <c r="W155" s="76"/>
    </row>
    <row r="156" spans="1:23" s="214" customFormat="1" x14ac:dyDescent="0.25">
      <c r="A156" s="266"/>
      <c r="B156" s="266"/>
      <c r="C156" s="54"/>
      <c r="D156" s="267"/>
      <c r="E156" s="268"/>
      <c r="F156" s="55"/>
      <c r="G156" s="269"/>
      <c r="H156" s="269"/>
      <c r="I156" s="55"/>
      <c r="J156" s="269"/>
      <c r="K156" s="270"/>
      <c r="L156" s="273"/>
      <c r="M156" s="75"/>
      <c r="N156" s="75"/>
      <c r="O156" s="75"/>
      <c r="P156" s="75"/>
      <c r="Q156" s="75"/>
      <c r="R156" s="75"/>
      <c r="S156" s="215"/>
      <c r="T156" s="215"/>
      <c r="U156" s="215"/>
      <c r="V156" s="215"/>
      <c r="W156" s="76"/>
    </row>
    <row r="157" spans="1:23" s="214" customFormat="1" x14ac:dyDescent="0.25">
      <c r="A157" s="266"/>
      <c r="B157" s="266"/>
      <c r="C157" s="54"/>
      <c r="D157" s="267"/>
      <c r="E157" s="268"/>
      <c r="F157" s="55"/>
      <c r="G157" s="269"/>
      <c r="H157" s="269"/>
      <c r="I157" s="55"/>
      <c r="J157" s="269"/>
      <c r="K157" s="270"/>
      <c r="L157" s="273"/>
      <c r="M157" s="75"/>
      <c r="N157" s="75"/>
      <c r="O157" s="75"/>
      <c r="P157" s="75"/>
      <c r="Q157" s="75"/>
      <c r="R157" s="75"/>
      <c r="S157" s="215"/>
      <c r="T157" s="215"/>
      <c r="U157" s="215"/>
      <c r="V157" s="215"/>
      <c r="W157" s="76"/>
    </row>
    <row r="158" spans="1:23" s="214" customFormat="1" x14ac:dyDescent="0.25">
      <c r="A158" s="266"/>
      <c r="B158" s="266"/>
      <c r="C158" s="54"/>
      <c r="D158" s="267"/>
      <c r="E158" s="268"/>
      <c r="F158" s="55"/>
      <c r="G158" s="269"/>
      <c r="H158" s="269"/>
      <c r="I158" s="55"/>
      <c r="J158" s="269"/>
      <c r="K158" s="270"/>
      <c r="L158" s="273"/>
      <c r="M158" s="75"/>
      <c r="N158" s="75"/>
      <c r="O158" s="75"/>
      <c r="P158" s="75"/>
      <c r="Q158" s="75"/>
      <c r="R158" s="75"/>
      <c r="S158" s="215"/>
      <c r="T158" s="215"/>
      <c r="U158" s="215"/>
      <c r="V158" s="215"/>
      <c r="W158" s="76"/>
    </row>
    <row r="159" spans="1:23" s="214" customFormat="1" x14ac:dyDescent="0.25">
      <c r="A159" s="266"/>
      <c r="B159" s="266"/>
      <c r="C159" s="54"/>
      <c r="D159" s="267"/>
      <c r="E159" s="268"/>
      <c r="F159" s="55"/>
      <c r="G159" s="269"/>
      <c r="H159" s="269"/>
      <c r="I159" s="55"/>
      <c r="J159" s="269"/>
      <c r="K159" s="270"/>
      <c r="L159" s="273"/>
      <c r="M159" s="75"/>
      <c r="N159" s="75"/>
      <c r="O159" s="75"/>
      <c r="P159" s="75"/>
      <c r="Q159" s="75"/>
      <c r="R159" s="75"/>
      <c r="S159" s="215"/>
      <c r="T159" s="215"/>
      <c r="U159" s="215"/>
      <c r="V159" s="215"/>
      <c r="W159" s="76"/>
    </row>
    <row r="160" spans="1:23" s="214" customFormat="1" x14ac:dyDescent="0.25">
      <c r="A160" s="266"/>
      <c r="B160" s="266"/>
      <c r="C160" s="54"/>
      <c r="D160" s="267"/>
      <c r="E160" s="268"/>
      <c r="F160" s="55"/>
      <c r="G160" s="269"/>
      <c r="H160" s="269"/>
      <c r="I160" s="55"/>
      <c r="J160" s="269"/>
      <c r="K160" s="270"/>
      <c r="L160" s="273"/>
      <c r="M160" s="75"/>
      <c r="N160" s="75"/>
      <c r="O160" s="75"/>
      <c r="P160" s="75"/>
      <c r="Q160" s="75"/>
      <c r="R160" s="75"/>
      <c r="S160" s="215"/>
      <c r="T160" s="215"/>
      <c r="U160" s="215"/>
      <c r="V160" s="215"/>
      <c r="W160" s="76"/>
    </row>
    <row r="161" spans="1:23" s="214" customFormat="1" x14ac:dyDescent="0.25">
      <c r="A161" s="266"/>
      <c r="B161" s="266"/>
      <c r="C161" s="54"/>
      <c r="D161" s="267"/>
      <c r="E161" s="268"/>
      <c r="F161" s="55"/>
      <c r="G161" s="269"/>
      <c r="H161" s="269"/>
      <c r="I161" s="55"/>
      <c r="J161" s="269"/>
      <c r="K161" s="270"/>
      <c r="L161" s="273"/>
      <c r="M161" s="75"/>
      <c r="N161" s="75"/>
      <c r="O161" s="75"/>
      <c r="P161" s="75"/>
      <c r="Q161" s="75"/>
      <c r="R161" s="75"/>
      <c r="S161" s="215"/>
      <c r="T161" s="215"/>
      <c r="U161" s="215"/>
      <c r="V161" s="215"/>
      <c r="W161" s="76"/>
    </row>
    <row r="162" spans="1:23" s="214" customFormat="1" x14ac:dyDescent="0.25">
      <c r="A162" s="266"/>
      <c r="B162" s="266"/>
      <c r="C162" s="54"/>
      <c r="D162" s="267"/>
      <c r="E162" s="268"/>
      <c r="F162" s="55"/>
      <c r="G162" s="269"/>
      <c r="H162" s="269"/>
      <c r="I162" s="55"/>
      <c r="J162" s="269"/>
      <c r="K162" s="270"/>
      <c r="L162" s="273"/>
      <c r="M162" s="75"/>
      <c r="N162" s="75"/>
      <c r="O162" s="75"/>
      <c r="P162" s="75"/>
      <c r="Q162" s="75"/>
      <c r="R162" s="75"/>
      <c r="S162" s="215"/>
      <c r="T162" s="215"/>
      <c r="U162" s="215"/>
      <c r="V162" s="215"/>
      <c r="W162" s="76"/>
    </row>
    <row r="163" spans="1:23" s="214" customFormat="1" x14ac:dyDescent="0.25">
      <c r="A163" s="266"/>
      <c r="B163" s="266"/>
      <c r="C163" s="54"/>
      <c r="D163" s="267"/>
      <c r="E163" s="268"/>
      <c r="F163" s="55"/>
      <c r="G163" s="269"/>
      <c r="H163" s="269"/>
      <c r="I163" s="55"/>
      <c r="J163" s="269"/>
      <c r="K163" s="270"/>
      <c r="L163" s="273"/>
      <c r="M163" s="75"/>
      <c r="N163" s="75"/>
      <c r="O163" s="75"/>
      <c r="P163" s="75"/>
      <c r="Q163" s="75"/>
      <c r="R163" s="75"/>
      <c r="S163" s="215"/>
      <c r="T163" s="215"/>
      <c r="U163" s="215"/>
      <c r="V163" s="215"/>
      <c r="W163" s="76"/>
    </row>
    <row r="164" spans="1:23" s="214" customFormat="1" x14ac:dyDescent="0.25">
      <c r="A164" s="266"/>
      <c r="B164" s="266"/>
      <c r="C164" s="54"/>
      <c r="D164" s="267"/>
      <c r="E164" s="268"/>
      <c r="F164" s="55"/>
      <c r="G164" s="269"/>
      <c r="H164" s="269"/>
      <c r="I164" s="55"/>
      <c r="J164" s="269"/>
      <c r="K164" s="270"/>
      <c r="L164" s="273"/>
      <c r="M164" s="75"/>
      <c r="N164" s="75"/>
      <c r="O164" s="75"/>
      <c r="P164" s="75"/>
      <c r="Q164" s="75"/>
      <c r="R164" s="75"/>
      <c r="S164" s="215"/>
      <c r="T164" s="215"/>
      <c r="U164" s="215"/>
      <c r="V164" s="215"/>
      <c r="W164" s="76"/>
    </row>
    <row r="165" spans="1:23" s="214" customFormat="1" x14ac:dyDescent="0.25">
      <c r="A165" s="266"/>
      <c r="B165" s="266"/>
      <c r="C165" s="54"/>
      <c r="D165" s="267"/>
      <c r="E165" s="268"/>
      <c r="F165" s="55"/>
      <c r="G165" s="269"/>
      <c r="H165" s="269"/>
      <c r="I165" s="55"/>
      <c r="J165" s="269"/>
      <c r="K165" s="270"/>
      <c r="L165" s="273"/>
      <c r="M165" s="75"/>
      <c r="N165" s="75"/>
      <c r="O165" s="75"/>
      <c r="P165" s="75"/>
      <c r="Q165" s="75"/>
      <c r="R165" s="75"/>
      <c r="S165" s="215"/>
      <c r="T165" s="215"/>
      <c r="U165" s="215"/>
      <c r="V165" s="215"/>
      <c r="W165" s="76"/>
    </row>
    <row r="166" spans="1:23" s="214" customFormat="1" x14ac:dyDescent="0.25">
      <c r="A166" s="266"/>
      <c r="B166" s="266"/>
      <c r="C166" s="54"/>
      <c r="D166" s="267"/>
      <c r="E166" s="268"/>
      <c r="F166" s="55"/>
      <c r="G166" s="269"/>
      <c r="H166" s="269"/>
      <c r="I166" s="55"/>
      <c r="J166" s="269"/>
      <c r="K166" s="270"/>
      <c r="L166" s="273"/>
      <c r="M166" s="75"/>
      <c r="N166" s="75"/>
      <c r="O166" s="75"/>
      <c r="P166" s="75"/>
      <c r="Q166" s="75"/>
      <c r="R166" s="75"/>
      <c r="S166" s="215"/>
      <c r="T166" s="215"/>
      <c r="U166" s="215"/>
      <c r="V166" s="215"/>
      <c r="W166" s="76"/>
    </row>
    <row r="167" spans="1:23" s="214" customFormat="1" x14ac:dyDescent="0.25">
      <c r="A167" s="266"/>
      <c r="B167" s="266"/>
      <c r="C167" s="54"/>
      <c r="D167" s="267"/>
      <c r="E167" s="268"/>
      <c r="F167" s="55"/>
      <c r="G167" s="269"/>
      <c r="H167" s="269"/>
      <c r="I167" s="55"/>
      <c r="J167" s="269"/>
      <c r="K167" s="270"/>
      <c r="L167" s="273"/>
      <c r="M167" s="75"/>
      <c r="N167" s="75"/>
      <c r="O167" s="75"/>
      <c r="P167" s="75"/>
      <c r="Q167" s="75"/>
      <c r="R167" s="75"/>
      <c r="S167" s="215"/>
      <c r="T167" s="215"/>
      <c r="U167" s="215"/>
      <c r="V167" s="215"/>
      <c r="W167" s="76"/>
    </row>
    <row r="168" spans="1:23" s="214" customFormat="1" x14ac:dyDescent="0.25">
      <c r="A168" s="266"/>
      <c r="B168" s="266"/>
      <c r="C168" s="54"/>
      <c r="D168" s="267"/>
      <c r="E168" s="268"/>
      <c r="F168" s="55"/>
      <c r="G168" s="269"/>
      <c r="H168" s="269"/>
      <c r="I168" s="55"/>
      <c r="J168" s="269"/>
      <c r="K168" s="270"/>
      <c r="L168" s="273"/>
      <c r="M168" s="75"/>
      <c r="N168" s="75"/>
      <c r="O168" s="75"/>
      <c r="P168" s="75"/>
      <c r="Q168" s="75"/>
      <c r="R168" s="75"/>
      <c r="S168" s="215"/>
      <c r="T168" s="215"/>
      <c r="U168" s="215"/>
      <c r="V168" s="215"/>
      <c r="W168" s="76"/>
    </row>
    <row r="169" spans="1:23" s="214" customFormat="1" x14ac:dyDescent="0.25">
      <c r="A169" s="266"/>
      <c r="B169" s="266"/>
      <c r="C169" s="54"/>
      <c r="D169" s="267"/>
      <c r="E169" s="268"/>
      <c r="F169" s="55"/>
      <c r="G169" s="269"/>
      <c r="H169" s="269"/>
      <c r="I169" s="55"/>
      <c r="J169" s="269"/>
      <c r="K169" s="270"/>
      <c r="L169" s="273"/>
      <c r="M169" s="75"/>
      <c r="N169" s="75"/>
      <c r="O169" s="75"/>
      <c r="P169" s="75"/>
      <c r="Q169" s="75"/>
      <c r="R169" s="75"/>
      <c r="S169" s="215"/>
      <c r="T169" s="215"/>
      <c r="U169" s="215"/>
      <c r="V169" s="215"/>
      <c r="W169" s="76"/>
    </row>
    <row r="170" spans="1:23" s="214" customFormat="1" x14ac:dyDescent="0.25">
      <c r="A170" s="266"/>
      <c r="B170" s="266"/>
      <c r="C170" s="54"/>
      <c r="D170" s="267"/>
      <c r="E170" s="268"/>
      <c r="F170" s="55"/>
      <c r="G170" s="269"/>
      <c r="H170" s="269"/>
      <c r="I170" s="55"/>
      <c r="J170" s="269"/>
      <c r="K170" s="270"/>
      <c r="L170" s="273"/>
      <c r="M170" s="75"/>
      <c r="N170" s="75"/>
      <c r="O170" s="75"/>
      <c r="P170" s="75"/>
      <c r="Q170" s="75"/>
      <c r="R170" s="75"/>
      <c r="S170" s="215"/>
      <c r="T170" s="215"/>
      <c r="U170" s="215"/>
      <c r="V170" s="215"/>
      <c r="W170" s="76"/>
    </row>
    <row r="171" spans="1:23" s="214" customFormat="1" x14ac:dyDescent="0.25">
      <c r="A171" s="266"/>
      <c r="B171" s="266"/>
      <c r="C171" s="54"/>
      <c r="D171" s="267"/>
      <c r="E171" s="268"/>
      <c r="F171" s="55"/>
      <c r="G171" s="269"/>
      <c r="H171" s="269"/>
      <c r="I171" s="55"/>
      <c r="J171" s="269"/>
      <c r="K171" s="270"/>
      <c r="L171" s="273"/>
      <c r="M171" s="75"/>
      <c r="N171" s="75"/>
      <c r="O171" s="75"/>
      <c r="P171" s="75"/>
      <c r="Q171" s="75"/>
      <c r="R171" s="75"/>
      <c r="S171" s="215"/>
      <c r="T171" s="215"/>
      <c r="U171" s="215"/>
      <c r="V171" s="215"/>
      <c r="W171" s="76"/>
    </row>
    <row r="172" spans="1:23" s="214" customFormat="1" x14ac:dyDescent="0.25">
      <c r="A172" s="266"/>
      <c r="B172" s="266"/>
      <c r="C172" s="54"/>
      <c r="D172" s="267"/>
      <c r="E172" s="268"/>
      <c r="F172" s="55"/>
      <c r="G172" s="269"/>
      <c r="H172" s="269"/>
      <c r="I172" s="55"/>
      <c r="J172" s="269"/>
      <c r="K172" s="270"/>
      <c r="L172" s="273"/>
      <c r="M172" s="75"/>
      <c r="N172" s="75"/>
      <c r="O172" s="75"/>
      <c r="P172" s="75"/>
      <c r="Q172" s="75"/>
      <c r="R172" s="75"/>
      <c r="S172" s="215"/>
      <c r="T172" s="215"/>
      <c r="U172" s="215"/>
      <c r="V172" s="215"/>
      <c r="W172" s="76"/>
    </row>
    <row r="173" spans="1:23" s="214" customFormat="1" x14ac:dyDescent="0.25">
      <c r="A173" s="266"/>
      <c r="B173" s="266"/>
      <c r="C173" s="54"/>
      <c r="D173" s="267"/>
      <c r="E173" s="268"/>
      <c r="F173" s="55"/>
      <c r="G173" s="269"/>
      <c r="H173" s="269"/>
      <c r="I173" s="55"/>
      <c r="J173" s="269"/>
      <c r="K173" s="270"/>
      <c r="L173" s="273"/>
      <c r="M173" s="75"/>
      <c r="N173" s="75"/>
      <c r="O173" s="75"/>
      <c r="P173" s="75"/>
      <c r="Q173" s="75"/>
      <c r="R173" s="75"/>
      <c r="S173" s="215"/>
      <c r="T173" s="215"/>
      <c r="U173" s="215"/>
      <c r="V173" s="215"/>
      <c r="W173" s="76"/>
    </row>
    <row r="174" spans="1:23" s="214" customFormat="1" x14ac:dyDescent="0.25">
      <c r="A174" s="266"/>
      <c r="B174" s="266"/>
      <c r="C174" s="54"/>
      <c r="D174" s="267"/>
      <c r="E174" s="268"/>
      <c r="F174" s="55"/>
      <c r="G174" s="269"/>
      <c r="H174" s="269"/>
      <c r="I174" s="55"/>
      <c r="J174" s="269"/>
      <c r="K174" s="270"/>
      <c r="L174" s="273"/>
      <c r="M174" s="75"/>
      <c r="N174" s="75"/>
      <c r="O174" s="75"/>
      <c r="P174" s="75"/>
      <c r="Q174" s="75"/>
      <c r="R174" s="75"/>
      <c r="S174" s="215"/>
      <c r="T174" s="215"/>
      <c r="U174" s="215"/>
      <c r="V174" s="215"/>
      <c r="W174" s="76"/>
    </row>
  </sheetData>
  <sheetProtection algorithmName="SHA-512" hashValue="SKY8HS3+97G2A354pZ8l3/eQFyOGiIJsw3QW3YABCFRBOWMsu3DstMiXoMoCB2tShrUrtuBBBprA5V7JxDpbKg==" saltValue="QNCT9mVYpUxJq67zcsazYQ==" spinCount="100000" sheet="1" formatCells="0" formatColumns="0" formatRows="0"/>
  <mergeCells count="57">
    <mergeCell ref="M29:T29"/>
    <mergeCell ref="M30:T30"/>
    <mergeCell ref="M31:T31"/>
    <mergeCell ref="M32:T32"/>
    <mergeCell ref="M33:T33"/>
    <mergeCell ref="M24:T24"/>
    <mergeCell ref="M25:T25"/>
    <mergeCell ref="M26:T26"/>
    <mergeCell ref="M27:T27"/>
    <mergeCell ref="M28:T28"/>
    <mergeCell ref="M15:T15"/>
    <mergeCell ref="M16:T16"/>
    <mergeCell ref="M17:T17"/>
    <mergeCell ref="M18:T18"/>
    <mergeCell ref="M19:T19"/>
    <mergeCell ref="U1:U2"/>
    <mergeCell ref="W1:W2"/>
    <mergeCell ref="M12:T12"/>
    <mergeCell ref="M13:T13"/>
    <mergeCell ref="M14:T14"/>
    <mergeCell ref="M1:T1"/>
    <mergeCell ref="M3:T3"/>
    <mergeCell ref="M5:T5"/>
    <mergeCell ref="M7:T7"/>
    <mergeCell ref="M34:T34"/>
    <mergeCell ref="M35:T35"/>
    <mergeCell ref="M36:T36"/>
    <mergeCell ref="M37:T37"/>
    <mergeCell ref="M38:T38"/>
    <mergeCell ref="M39:T39"/>
    <mergeCell ref="M40:T40"/>
    <mergeCell ref="M47:T47"/>
    <mergeCell ref="M48:T48"/>
    <mergeCell ref="M49:T49"/>
    <mergeCell ref="M42:T42"/>
    <mergeCell ref="M50:T50"/>
    <mergeCell ref="M51:T51"/>
    <mergeCell ref="M52:T52"/>
    <mergeCell ref="M53:T53"/>
    <mergeCell ref="M54:T54"/>
    <mergeCell ref="M55:T55"/>
    <mergeCell ref="M56:T56"/>
    <mergeCell ref="M57:T57"/>
    <mergeCell ref="M58:T58"/>
    <mergeCell ref="M63:T63"/>
    <mergeCell ref="M64:T64"/>
    <mergeCell ref="M65:T65"/>
    <mergeCell ref="M72:T72"/>
    <mergeCell ref="M73:T73"/>
    <mergeCell ref="M74:T74"/>
    <mergeCell ref="M70:T70"/>
    <mergeCell ref="M75:T75"/>
    <mergeCell ref="M66:T66"/>
    <mergeCell ref="M67:T67"/>
    <mergeCell ref="M68:T68"/>
    <mergeCell ref="M69:T69"/>
    <mergeCell ref="M71:T71"/>
  </mergeCells>
  <conditionalFormatting sqref="E3">
    <cfRule type="dataBar" priority="125">
      <dataBar>
        <cfvo type="num" val="0.1"/>
        <cfvo type="num" val="1"/>
        <color theme="9" tint="0.39997558519241921"/>
      </dataBar>
      <extLst>
        <ext xmlns:x14="http://schemas.microsoft.com/office/spreadsheetml/2009/9/main" uri="{B025F937-C7B1-47D3-B67F-A62EFF666E3E}">
          <x14:id>{86074187-E721-4A8B-B0BE-2FFD7391973B}</x14:id>
        </ext>
      </extLst>
    </cfRule>
  </conditionalFormatting>
  <conditionalFormatting sqref="E4:E5">
    <cfRule type="expression" dxfId="455" priority="258">
      <formula>AND(B4&lt;&gt;1,NOT(ISBLANK(D4)))</formula>
    </cfRule>
  </conditionalFormatting>
  <conditionalFormatting sqref="E8">
    <cfRule type="dataBar" priority="124">
      <dataBar>
        <cfvo type="num" val="0.1"/>
        <cfvo type="num" val="1"/>
        <color theme="9" tint="0.39997558519241921"/>
      </dataBar>
      <extLst>
        <ext xmlns:x14="http://schemas.microsoft.com/office/spreadsheetml/2009/9/main" uri="{B025F937-C7B1-47D3-B67F-A62EFF666E3E}">
          <x14:id>{B714F5BC-25A5-4172-83C5-7B0613E2F044}</x14:id>
        </ext>
      </extLst>
    </cfRule>
  </conditionalFormatting>
  <conditionalFormatting sqref="E11">
    <cfRule type="expression" dxfId="454" priority="80">
      <formula>AND(B11&lt;&gt;1,ISNUMBER(C11),OR(ISNUMBER(D11),D11="PG"))</formula>
    </cfRule>
  </conditionalFormatting>
  <conditionalFormatting sqref="E12:E19">
    <cfRule type="expression" dxfId="453" priority="79">
      <formula>AND(B12&lt;&gt;1,ISNUMBER(C12),ISNUMBER(D12))</formula>
    </cfRule>
  </conditionalFormatting>
  <conditionalFormatting sqref="E23">
    <cfRule type="expression" dxfId="452" priority="78">
      <formula>AND(B23&lt;&gt;1,ISNUMBER(C23),OR(ISNUMBER(D23),D23="PG"))</formula>
    </cfRule>
  </conditionalFormatting>
  <conditionalFormatting sqref="E24:E40">
    <cfRule type="expression" dxfId="451" priority="77">
      <formula>AND(B24&lt;&gt;1,ISNUMBER(C24),ISNUMBER(D24))</formula>
    </cfRule>
  </conditionalFormatting>
  <conditionalFormatting sqref="E43">
    <cfRule type="dataBar" priority="122">
      <dataBar>
        <cfvo type="num" val="0.1"/>
        <cfvo type="num" val="1"/>
        <color theme="9" tint="0.39997558519241921"/>
      </dataBar>
      <extLst>
        <ext xmlns:x14="http://schemas.microsoft.com/office/spreadsheetml/2009/9/main" uri="{B025F937-C7B1-47D3-B67F-A62EFF666E3E}">
          <x14:id>{03B4CFAB-A192-4127-A209-80AC68AD7EAA}</x14:id>
        </ext>
      </extLst>
    </cfRule>
  </conditionalFormatting>
  <conditionalFormatting sqref="E46">
    <cfRule type="expression" dxfId="450" priority="76">
      <formula>AND(B46&lt;&gt;1,ISNUMBER(C46),OR(ISNUMBER(D46),D46="PG"))</formula>
    </cfRule>
  </conditionalFormatting>
  <conditionalFormatting sqref="E47:E58">
    <cfRule type="expression" dxfId="449" priority="75">
      <formula>AND(B47&lt;&gt;1,ISNUMBER(C47),ISNUMBER(D47))</formula>
    </cfRule>
  </conditionalFormatting>
  <conditionalFormatting sqref="E62">
    <cfRule type="expression" dxfId="448" priority="74">
      <formula>AND(B62&lt;&gt;1,ISNUMBER(C62),OR(ISNUMBER(D62),D62="PG"))</formula>
    </cfRule>
  </conditionalFormatting>
  <conditionalFormatting sqref="E63:E75">
    <cfRule type="expression" dxfId="447" priority="73">
      <formula>AND(B63&lt;&gt;1,ISNUMBER(C63),ISNUMBER(D63))</formula>
    </cfRule>
  </conditionalFormatting>
  <conditionalFormatting sqref="F11:F19">
    <cfRule type="expression" dxfId="446" priority="29">
      <formula>OR(AND($B11=1,LEN(F11)&gt;1,F11&lt;&gt;"NA"),AND($B11=0,ISNUMBER($C11)))</formula>
    </cfRule>
  </conditionalFormatting>
  <conditionalFormatting sqref="F23:F40">
    <cfRule type="expression" dxfId="445" priority="21">
      <formula>OR(AND($B23=1,LEN(F23)&gt;1,F23&lt;&gt;"NA"),AND($B23=0,ISNUMBER($C23)))</formula>
    </cfRule>
  </conditionalFormatting>
  <conditionalFormatting sqref="F46:F58">
    <cfRule type="expression" dxfId="444" priority="13">
      <formula>OR(AND($B46=1,LEN(F46)&gt;1,F46&lt;&gt;"NA"),AND($B46=0,ISNUMBER($C46)))</formula>
    </cfRule>
  </conditionalFormatting>
  <conditionalFormatting sqref="F62:F75">
    <cfRule type="expression" dxfId="443" priority="5">
      <formula>OR(AND($B62=1,LEN(F62)&gt;1,F62&lt;&gt;"NA"),AND($B62=0,ISNUMBER($C62)))</formula>
    </cfRule>
  </conditionalFormatting>
  <conditionalFormatting sqref="G11:G19">
    <cfRule type="expression" dxfId="442" priority="33">
      <formula>AND(B11=1,OR(F11="S",F11="N"), NOT(ISBLANK(G11)))</formula>
    </cfRule>
    <cfRule type="expression" dxfId="441" priority="27" stopIfTrue="1">
      <formula>AND(B11=1,F11="NA", ISBLANK(G11))</formula>
    </cfRule>
    <cfRule type="expression" dxfId="440" priority="28" stopIfTrue="1">
      <formula>AND(B11=1,OR(F11="S",F11="N",ISBLANK(F11)), ISBLANK(G11))</formula>
    </cfRule>
  </conditionalFormatting>
  <conditionalFormatting sqref="G23:G40">
    <cfRule type="expression" dxfId="439" priority="25">
      <formula>AND(B23=1,OR(F23="S",F23="N"), NOT(ISBLANK(G23)))</formula>
    </cfRule>
    <cfRule type="expression" dxfId="438" priority="19" stopIfTrue="1">
      <formula>AND(B23=1,F23="NA", ISBLANK(G23))</formula>
    </cfRule>
    <cfRule type="expression" dxfId="437" priority="20" stopIfTrue="1">
      <formula>AND(B23=1,OR(F23="S",F23="N",ISBLANK(F23)), ISBLANK(G23))</formula>
    </cfRule>
  </conditionalFormatting>
  <conditionalFormatting sqref="G46:G58">
    <cfRule type="expression" dxfId="436" priority="11" stopIfTrue="1">
      <formula>AND(B46=1,F46="NA", ISBLANK(G46))</formula>
    </cfRule>
    <cfRule type="expression" dxfId="435" priority="12" stopIfTrue="1">
      <formula>AND(B46=1,OR(F46="S",F46="N",ISBLANK(F46)), ISBLANK(G46))</formula>
    </cfRule>
    <cfRule type="expression" dxfId="434" priority="17">
      <formula>AND(B46=1,OR(F46="S",F46="N"), NOT(ISBLANK(G46)))</formula>
    </cfRule>
  </conditionalFormatting>
  <conditionalFormatting sqref="G62:G75">
    <cfRule type="expression" dxfId="433" priority="3" stopIfTrue="1">
      <formula>AND(B62=1,F62="NA", ISBLANK(G62))</formula>
    </cfRule>
    <cfRule type="expression" dxfId="432" priority="4" stopIfTrue="1">
      <formula>AND(B62=1,OR(F62="S",F62="N",ISBLANK(F62)), ISBLANK(G62))</formula>
    </cfRule>
    <cfRule type="expression" dxfId="431" priority="9">
      <formula>AND(B62=1,OR(F62="S",F62="N"), NOT(ISBLANK(G62)))</formula>
    </cfRule>
  </conditionalFormatting>
  <conditionalFormatting sqref="K11:K19">
    <cfRule type="expression" dxfId="429" priority="30" stopIfTrue="1">
      <formula>AND($B11=1,OR($F11="S",$F11="P"),ISBLANK($K11))</formula>
    </cfRule>
    <cfRule type="expression" dxfId="428" priority="26" stopIfTrue="1">
      <formula>AND($B11=1,OR($F11="N",$F11="NA"))</formula>
    </cfRule>
  </conditionalFormatting>
  <conditionalFormatting sqref="K23:K40">
    <cfRule type="expression" dxfId="427" priority="18" stopIfTrue="1">
      <formula>AND($B23=1,OR($F23="N",$F23="NA"))</formula>
    </cfRule>
    <cfRule type="expression" dxfId="425" priority="22" stopIfTrue="1">
      <formula>AND($B23=1,OR($F23="S",$F23="P"),ISBLANK($K23))</formula>
    </cfRule>
  </conditionalFormatting>
  <conditionalFormatting sqref="K46:K58">
    <cfRule type="expression" dxfId="423" priority="14" stopIfTrue="1">
      <formula>AND($B46=1,OR($F46="S",$F46="P"),ISBLANK($K46))</formula>
    </cfRule>
    <cfRule type="expression" dxfId="422" priority="10" stopIfTrue="1">
      <formula>AND($B46=1,OR($F46="N",$F46="NA"))</formula>
    </cfRule>
  </conditionalFormatting>
  <conditionalFormatting sqref="K62:K75">
    <cfRule type="expression" dxfId="421" priority="6" stopIfTrue="1">
      <formula>AND($B62=1,OR($F62="S",$F62="P"),ISBLANK($K62))</formula>
    </cfRule>
    <cfRule type="expression" dxfId="419" priority="2" stopIfTrue="1">
      <formula>AND($B62=1,OR($F62="N",$F62="NA"))</formula>
    </cfRule>
  </conditionalFormatting>
  <conditionalFormatting sqref="V5">
    <cfRule type="expression" dxfId="418" priority="1">
      <formula>AND((L5=1),ISBLANK($V5))</formula>
    </cfRule>
  </conditionalFormatting>
  <conditionalFormatting sqref="V11:V19">
    <cfRule type="expression" dxfId="417" priority="31">
      <formula>AND((L11=1),ISBLANK($V11))</formula>
    </cfRule>
  </conditionalFormatting>
  <conditionalFormatting sqref="V23:V40">
    <cfRule type="expression" dxfId="416" priority="23">
      <formula>AND((L23=1),ISBLANK($V23))</formula>
    </cfRule>
  </conditionalFormatting>
  <conditionalFormatting sqref="V46:V58">
    <cfRule type="expression" dxfId="415" priority="15">
      <formula>AND((L46=1),ISBLANK($V46))</formula>
    </cfRule>
  </conditionalFormatting>
  <conditionalFormatting sqref="V62:V75">
    <cfRule type="expression" dxfId="414" priority="7">
      <formula>AND((L62=1),ISBLANK($V62))</formula>
    </cfRule>
  </conditionalFormatting>
  <dataValidations count="6">
    <dataValidation type="list" allowBlank="1" showInputMessage="1" showErrorMessage="1" error="Opção inválida! _x000a_Use OM &quot;-&quot; ou PF &quot;+&quot;" sqref="W11:W19 W23:W40 W62:W75 W46:W58" xr:uid="{00000000-0002-0000-0400-000001000000}">
      <formula1>"-,+"</formula1>
    </dataValidation>
    <dataValidation type="list" allowBlank="1" showInputMessage="1" showErrorMessage="1" error="Opção inválida!" sqref="U11 U23 M23:O23 M11:O11 U46 Q23:S23 Q11:S11 M46:O46 Q46:S46 U62 M62:O62 Q62:S62" xr:uid="{6AE8340C-CB16-4782-AC00-D8BAF1D070C8}">
      <formula1>"0,1,2,3,4"</formula1>
    </dataValidation>
    <dataValidation type="list" allowBlank="1" showDropDown="1" showInputMessage="1" showErrorMessage="1" error="opção inválida!" sqref="I23:I40 I46:I58 I11:I19 I62:I75" xr:uid="{B5D71DD5-018A-4CE3-96A4-704E6AA303FB}">
      <formula1>"s,n,p,S,N,P"</formula1>
    </dataValidation>
    <dataValidation type="list" allowBlank="1" showDropDown="1" showInputMessage="1" showErrorMessage="1" error="opção inválida!" sqref="F23:F40 F46:F58 F11:F19 F62:F75" xr:uid="{C34391D0-8128-4E3D-8896-DA5CAA257EDC}">
      <formula1>"s,n,S,N,p,P,na,NA,Na"</formula1>
    </dataValidation>
    <dataValidation type="list" allowBlank="1" showDropDown="1" showInputMessage="1" showErrorMessage="1" error="Opção inválida!" prompt="Aplica I.A.?   _x000a_1:SIm   _x000a_0 :Não" sqref="P46 P23 P11 P62" xr:uid="{639A11E0-2430-49A4-84D9-AE13263D26FC}">
      <formula1>"0,1"</formula1>
    </dataValidation>
    <dataValidation type="list" allowBlank="1" showDropDown="1" showInputMessage="1" showErrorMessage="1" error="Opção inválida!" prompt="Há inovação?_x000a_1:Sim_x000a_0:Não" sqref="T46 T23 T11 T62" xr:uid="{AE5F1480-A764-466A-A0E2-43E0F1918288}">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6074187-E721-4A8B-B0BE-2FFD7391973B}">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B714F5BC-25A5-4172-83C5-7B0613E2F044}">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03B4CFAB-A192-4127-A209-80AC68AD7EAA}">
            <x14:dataBar minLength="0" maxLength="100" gradient="0">
              <x14:cfvo type="num">
                <xm:f>0.1</xm:f>
              </x14:cfvo>
              <x14:cfvo type="num">
                <xm:f>1</xm:f>
              </x14:cfvo>
              <x14:negativeFillColor rgb="FFFF0000"/>
              <x14:axisColor rgb="FF000000"/>
            </x14:dataBar>
          </x14:cfRule>
          <xm:sqref>E43</xm:sqref>
        </x14:conditionalFormatting>
        <x14:conditionalFormatting xmlns:xm="http://schemas.microsoft.com/office/excel/2006/main">
          <x14:cfRule type="expression" priority="32" id="{63849A37-5031-4479-9540-1AA5E586D1C1}">
            <xm:f>AND(B11=1,$J11&gt;Capa!$H$23)</xm:f>
            <x14:dxf>
              <fill>
                <patternFill>
                  <bgColor rgb="FFFFCCCC"/>
                </patternFill>
              </fill>
            </x14:dxf>
          </x14:cfRule>
          <xm:sqref>K11:K19</xm:sqref>
        </x14:conditionalFormatting>
        <x14:conditionalFormatting xmlns:xm="http://schemas.microsoft.com/office/excel/2006/main">
          <x14:cfRule type="expression" priority="24" id="{DBD2A4CE-A740-401F-8CA2-DB01376A4D2A}">
            <xm:f>AND(B23=1,$J23&gt;Capa!$H$23)</xm:f>
            <x14:dxf>
              <fill>
                <patternFill>
                  <bgColor rgb="FFFFCCCC"/>
                </patternFill>
              </fill>
            </x14:dxf>
          </x14:cfRule>
          <xm:sqref>K23:K40</xm:sqref>
        </x14:conditionalFormatting>
        <x14:conditionalFormatting xmlns:xm="http://schemas.microsoft.com/office/excel/2006/main">
          <x14:cfRule type="expression" priority="16" id="{FF0C2236-3C58-4266-8315-8B52D0CAED97}">
            <xm:f>AND(B46=1,$J46&gt;Capa!$H$23)</xm:f>
            <x14:dxf>
              <fill>
                <patternFill>
                  <bgColor rgb="FFFFCCCC"/>
                </patternFill>
              </fill>
            </x14:dxf>
          </x14:cfRule>
          <xm:sqref>K46:K58</xm:sqref>
        </x14:conditionalFormatting>
        <x14:conditionalFormatting xmlns:xm="http://schemas.microsoft.com/office/excel/2006/main">
          <x14:cfRule type="expression" priority="8" id="{29415961-8FED-4089-84EF-143BE1272C25}">
            <xm:f>AND(B62=1,$J62&gt;Capa!$H$23)</xm:f>
            <x14:dxf>
              <fill>
                <patternFill>
                  <bgColor rgb="FFFFCCCC"/>
                </patternFill>
              </fill>
            </x14:dxf>
          </x14:cfRule>
          <xm:sqref>K62:K75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AG203"/>
  <sheetViews>
    <sheetView zoomScale="115" zoomScaleNormal="115" workbookViewId="0">
      <pane xSplit="5" ySplit="3" topLeftCell="F4" activePane="bottomRight" state="frozen"/>
      <selection pane="topRight" activeCell="F1" sqref="F1"/>
      <selection pane="bottomLeft" activeCell="A4" sqref="A4"/>
      <selection pane="bottomRight" activeCell="F11" sqref="F11"/>
    </sheetView>
  </sheetViews>
  <sheetFormatPr defaultColWidth="8.85546875" defaultRowHeight="26.25" x14ac:dyDescent="0.25"/>
  <cols>
    <col min="1" max="2" width="2.140625" style="210" customWidth="1"/>
    <col min="3" max="3" width="2.5703125" style="1" customWidth="1"/>
    <col min="4" max="4" width="5" style="271" customWidth="1"/>
    <col min="5" max="5" width="52.5703125" style="272" customWidth="1"/>
    <col min="6" max="6" width="5.85546875" style="31" customWidth="1"/>
    <col min="7" max="7" width="31.140625" style="273" customWidth="1"/>
    <col min="8" max="8" width="1.140625" style="273" customWidth="1"/>
    <col min="9" max="9" width="5.85546875" style="31" customWidth="1"/>
    <col min="10" max="10" width="1.85546875" style="273" customWidth="1"/>
    <col min="11" max="11" width="33.140625" style="274" customWidth="1"/>
    <col min="12" max="12" width="1.5703125" style="269" customWidth="1"/>
    <col min="13" max="18" width="4.85546875" style="62" customWidth="1"/>
    <col min="19" max="20" width="4.85546875" style="214" customWidth="1"/>
    <col min="21" max="21" width="4.7109375" style="214" customWidth="1"/>
    <col min="22" max="22" width="34.5703125" style="214" customWidth="1"/>
    <col min="23" max="23" width="5.140625" style="60" customWidth="1"/>
    <col min="24" max="24" width="4.5703125" style="214" customWidth="1"/>
    <col min="25" max="25" width="32.85546875" style="214" customWidth="1"/>
    <col min="26" max="26" width="24.140625" style="214" customWidth="1"/>
    <col min="27" max="27" width="23.85546875" style="214" customWidth="1"/>
    <col min="28" max="28" width="25.42578125" style="214" customWidth="1"/>
    <col min="29" max="33" width="9.140625" style="214"/>
    <col min="34" max="16384" width="8.85546875" style="215"/>
  </cols>
  <sheetData>
    <row r="1" spans="1:28" ht="17.100000000000001" customHeight="1" x14ac:dyDescent="0.25">
      <c r="C1" s="139"/>
      <c r="D1" s="276"/>
      <c r="E1" s="277" t="str">
        <f>Capa!A1</f>
        <v xml:space="preserve">MEGplan®ESG </v>
      </c>
      <c r="F1" s="430" t="s">
        <v>22</v>
      </c>
      <c r="G1" s="432"/>
      <c r="H1" s="491"/>
      <c r="I1" s="427"/>
      <c r="J1" s="252"/>
      <c r="K1" s="434"/>
      <c r="L1" s="252"/>
      <c r="M1" s="725" t="s">
        <v>23</v>
      </c>
      <c r="N1" s="726"/>
      <c r="O1" s="726"/>
      <c r="P1" s="726"/>
      <c r="Q1" s="726"/>
      <c r="R1" s="726"/>
      <c r="S1" s="726"/>
      <c r="T1" s="727"/>
      <c r="U1" s="715" t="s">
        <v>24</v>
      </c>
      <c r="V1" s="587"/>
      <c r="W1" s="717" t="s">
        <v>25</v>
      </c>
      <c r="X1" s="602"/>
      <c r="Y1" s="600"/>
      <c r="Z1" s="600"/>
      <c r="AA1" s="600"/>
      <c r="AB1" s="600"/>
    </row>
    <row r="2" spans="1:28" ht="25.5" thickBot="1" x14ac:dyDescent="0.3">
      <c r="C2" s="8" t="s">
        <v>26</v>
      </c>
      <c r="D2" s="8" t="s">
        <v>27</v>
      </c>
      <c r="E2" s="386" t="str">
        <f>"PGs: "&amp;SUMIFS($B$1:$B$235,$A$1:$A$235,"="&amp;A4&amp;"??",$D$1:$D$235,"=PG",B$1:B$235,"&gt;0")&amp;"  LV: "&amp;SUMIFS($B$1:$B$235,$A$1:$A$235,"="&amp;A4&amp;"??",$D$1:$D$235,"&lt;&gt;PG",B$1:B$235,"&gt;0")</f>
        <v>PGs: 5  LV: 14</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16"/>
      <c r="V2" s="589" t="s">
        <v>41</v>
      </c>
      <c r="W2" s="718"/>
      <c r="X2" s="603"/>
      <c r="Y2" s="601" t="s">
        <v>42</v>
      </c>
      <c r="Z2" s="601" t="s">
        <v>43</v>
      </c>
      <c r="AA2" s="601" t="s">
        <v>44</v>
      </c>
      <c r="AB2" s="601" t="s">
        <v>45</v>
      </c>
    </row>
    <row r="3" spans="1:28" ht="18" customHeight="1" x14ac:dyDescent="0.25">
      <c r="A3" s="210" t="s">
        <v>430</v>
      </c>
      <c r="B3" s="7" t="str">
        <f>IF(  AND(ISNUMBER(C3),OR(ISNUMBER(D3),D3="PG")),IF(IF(Capa!$B$6="B",0,Capa!$B$6)&gt;=C3,1,0),"")</f>
        <v/>
      </c>
      <c r="C3" s="85"/>
      <c r="D3" s="86"/>
      <c r="E3" s="98">
        <f>IF(SUMIFS($B$1:$B$235,$A$1:$A$235,"="&amp;A4&amp;"??",B$1:B$235,"&gt;0")&lt;=0,0,COUNTIFS($F$1:$F$235,"*",$A$1:$A$235,"="&amp;A4&amp;"??",B$1:B$235,"&gt;0")/SUMIFS($B$1:$B$235,$A$1:$A$235,"="&amp;A4&amp;"??",B$1:B$235,"&gt;0"))</f>
        <v>0</v>
      </c>
      <c r="F3" s="37"/>
      <c r="G3" s="101"/>
      <c r="H3" s="284"/>
      <c r="I3" s="38"/>
      <c r="J3" s="37"/>
      <c r="K3" s="87"/>
      <c r="L3" s="492"/>
      <c r="M3" s="722">
        <f>MIN(IF(OR(Capa!$B$6="B",Capa!$B$6=1),AVERAGE(M7,M42,M78),(M7*'Quadro Geral'!D20+M42*'Quadro Geral'!D21+M78*'Quadro Geral'!D22)/'Quadro Geral'!D19)+U3,1)</f>
        <v>0</v>
      </c>
      <c r="N3" s="723"/>
      <c r="O3" s="723"/>
      <c r="P3" s="723"/>
      <c r="Q3" s="723"/>
      <c r="R3" s="723"/>
      <c r="S3" s="723"/>
      <c r="T3" s="724"/>
      <c r="U3" s="467">
        <f>IF(OR(AND(Capa!$B$6="B",'1'!P4+'2'!P4+'3'!P4+'4'!P4+'5'!P4+'6'!P4+'7'!P4&gt;0),AND(Capa!$B$6=1,'1'!I4+'2'!I4+'3'!P4+'4'!P4+'5'!P4+'6'!P4+'7'!P4&gt;1),AND(Capa!$B$6=2,P4&gt;0),AND(Capa!$B$6=3,P4&gt;1)),0.05,0)+
 IF(OR(AND(Capa!$B$6=1,'1'!P4+'2'!P4+'3'!P4+'4'!P4+'5'!P4+'6'!P4+'7'!P4=1),AND(Capa!$B$6=3,P4=1)),0.02,0)+
 IF(OR(AND(Capa!$B$6="B",'1'!T4+'2'!T4+'3'!T4+'4'!T4+'5'!T4+'6'!T4+'7'!T4&gt;0),AND(Capa!$B$6=1,'1'!T4+'2'!T4+'3'!T4+'4'!T4+'5'!T4+'6'!T4+'7'!T4&gt;1),AND(Capa!$B$6=2,T4&gt;0),AND(Capa!$B$6=3,T4&gt;1)),0.05,0)+
 IF(OR(AND(Capa!$B$6=1,'1'!T4+'2'!T4+'3'!T4+'4'!T4+'5'!T4+'6'!T4+'7'!T4=1),AND(Capa!$B$6=3,T4=1)),0.02,0)</f>
        <v>0</v>
      </c>
      <c r="V3" s="88"/>
      <c r="W3" s="472"/>
      <c r="X3" s="579"/>
      <c r="Y3" s="579"/>
      <c r="Z3" s="579"/>
      <c r="AA3" s="579"/>
      <c r="AB3" s="579"/>
    </row>
    <row r="4" spans="1:28" x14ac:dyDescent="0.25">
      <c r="A4" s="210" t="s">
        <v>430</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218" t="s">
        <v>431</v>
      </c>
      <c r="F4" s="382">
        <f>IF(COUNTIFS($A$1:$A$235,"="&amp;A4&amp;"??",$B$1:$B$235,"&gt;0",$D$1:$D$235,"&gt;0")&gt;0,(COUNTIFS($A$1:$A$235,"="&amp;A4&amp;"??",$B$1:$B$235,"&gt;0",$D$1:$D$235,"&gt;0",F$1:F$235,"=S")+COUNTIFS($A$1:$A$235,"="&amp;A4&amp;"??",$B$1:$B$235,"&gt;0",$D$1:$D$235,"&gt;0",$F$1:$F$235,"=P")+COUNTIFS($A$1:$A$235,"="&amp;A4&amp;"??",$B$1:$B$235,"&gt;0",$D$1:$D$235,"&gt;0",F$1:F$235,"=N")+COUNTIFS($A$1:$A$235,"="&amp;A4&amp;"??",$B$1:$B$235,"&gt;0",$D$1:$D$235,"&gt;0",F$1:F$235,"=NA"))/COUNTIFS($A$1:$A$235,"="&amp;A4&amp;"??",$B$1:$B$235,"&gt;0",$D$1:$D$235,"&gt;0"),0)</f>
        <v>0</v>
      </c>
      <c r="G4" s="235"/>
      <c r="H4" s="220"/>
      <c r="I4" s="382">
        <f>IF(COUNTIFS($A$1:$A$235,"="&amp;A4&amp;"??",$B$1:$B$235,"&gt;0",$D$1:$D$235,"&gt;0")&gt;0,
        (COUNTIFS($A$1:$A$235,"="&amp;A4&amp;"??",$B$1:$B$235,"&gt;0",$D$1:$D$235,"&gt;0",F$1:F$235,"=S",I$1:I$235,"") +
         (COUNTIFS($A$1:$A$235,"="&amp;A4&amp;"??",$B$1:$B$235,"&gt;0",$D$1:$D$235,"&gt;0",$F$1:$F$235,"=P",I$1:I$235,"")/2) +
         COUNTIFS($A$1:$A$235,"="&amp;A4&amp;"??",$B$1:$B$235,"&gt;0",$D$1:$D$235,"&gt;0",I$1:I$235,"=S") +
         (COUNTIFS($A$1:$A$235,"="&amp;A4&amp;"??",$B$1:$B$235,"&gt;0",$D$1:$D$235,"&gt;0",I$1:I$235,"=P")/2)
         )/COUNTIFS($A$1:$A$235,"="&amp;A4&amp;"??",$B$1:$B$235,"&gt;0",$D$1:$D$235,"&gt;0"),0)</f>
        <v>0</v>
      </c>
      <c r="J4" s="219"/>
      <c r="K4" s="296"/>
      <c r="L4" s="219"/>
      <c r="M4" s="105">
        <f>AVERAGE(M8,M43,M79)</f>
        <v>0</v>
      </c>
      <c r="N4" s="105">
        <f t="shared" ref="N4:S4" si="0">AVERAGE(N8,N43,N79)</f>
        <v>0</v>
      </c>
      <c r="O4" s="105">
        <f t="shared" si="0"/>
        <v>0</v>
      </c>
      <c r="P4" s="414">
        <f>P8+P43+P79</f>
        <v>0</v>
      </c>
      <c r="Q4" s="105">
        <f t="shared" si="0"/>
        <v>0</v>
      </c>
      <c r="R4" s="105">
        <f t="shared" si="0"/>
        <v>0</v>
      </c>
      <c r="S4" s="105">
        <f t="shared" si="0"/>
        <v>0</v>
      </c>
      <c r="T4" s="414">
        <f>T8+T43+T79</f>
        <v>0</v>
      </c>
      <c r="U4" s="100"/>
      <c r="V4" s="221"/>
      <c r="W4" s="66"/>
      <c r="X4" s="579"/>
      <c r="Y4" s="579"/>
      <c r="Z4" s="579"/>
      <c r="AA4" s="579"/>
      <c r="AB4" s="579"/>
    </row>
    <row r="5" spans="1:28" ht="81" customHeight="1" x14ac:dyDescent="0.25">
      <c r="A5" s="210" t="s">
        <v>430</v>
      </c>
      <c r="B5" s="7" t="str">
        <f>IF(  AND(ISNUMBER(C5),OR(ISNUMBER(D5),D5="PG")),IF(IF(Capa!$B$6="B",0,Capa!$B$6)&gt;=C5,1,0),"")</f>
        <v/>
      </c>
      <c r="C5" s="19" t="str">
        <f t="shared" ref="C5:C68" si="1">IF(ISBLANK(D5),"",IF(ISERR(SEARCH(D5&amp;"\","&lt;B&gt;\&lt;1&gt;\&lt;2&gt;\&lt;3&gt;\")),IF(AND(NOT(ISBLANK(C4)),C4&lt;=3),C4,""),
IF(SEARCH(D5&amp;"\","&lt;B&gt;\&lt;1&gt;\&lt;2&gt;\&lt;3&gt;\")=1,0,IF(SEARCH(D5&amp;"\","&lt;B&gt;\&lt;1&gt;\&lt;2&gt;\&lt;3&gt;\")=5,1,IF(SEARCH(D5&amp;"\","&lt;B&gt;\&lt;1&gt;\&lt;2&gt;\&lt;3&gt;\")=9,2,IF(SEARCH(D5&amp;"\","&lt;B&gt;\&lt;1&gt;\&lt;2&gt;\&lt;3&gt;\")=13,3,""))))))</f>
        <v/>
      </c>
      <c r="D5" s="20"/>
      <c r="E5" s="400" t="s">
        <v>432</v>
      </c>
      <c r="F5" s="290"/>
      <c r="G5" s="290"/>
      <c r="H5" s="252"/>
      <c r="I5" s="290"/>
      <c r="J5" s="253"/>
      <c r="K5" s="254"/>
      <c r="L5" s="701" t="str">
        <f>IF($F$4&gt;0.9,1,"")</f>
        <v/>
      </c>
      <c r="M5" s="728"/>
      <c r="N5" s="729"/>
      <c r="O5" s="729"/>
      <c r="P5" s="729"/>
      <c r="Q5" s="729"/>
      <c r="R5" s="729"/>
      <c r="S5" s="729"/>
      <c r="T5" s="730"/>
      <c r="U5" s="224"/>
      <c r="V5" s="464"/>
      <c r="W5" s="473"/>
      <c r="X5" s="522"/>
      <c r="Y5" s="522"/>
      <c r="Z5" s="522"/>
      <c r="AA5" s="522"/>
      <c r="AB5" s="522"/>
    </row>
    <row r="6" spans="1:28" ht="9" customHeight="1" x14ac:dyDescent="0.25">
      <c r="B6" s="7" t="str">
        <f>IF(  AND(ISNUMBER(C6),OR(ISNUMBER(D6),D6="PG")),IF(IF(Capa!$B$6="B",0,Capa!$B$6)&gt;=C6,1,0),"")</f>
        <v/>
      </c>
      <c r="C6" s="118" t="str">
        <f t="shared" si="1"/>
        <v/>
      </c>
      <c r="D6" s="122"/>
      <c r="E6" s="291"/>
      <c r="F6" s="123"/>
      <c r="G6" s="227"/>
      <c r="H6" s="227"/>
      <c r="I6" s="123"/>
      <c r="J6" s="227"/>
      <c r="K6" s="245"/>
      <c r="L6" s="227"/>
      <c r="M6" s="124"/>
      <c r="N6" s="124"/>
      <c r="O6" s="124"/>
      <c r="P6" s="124"/>
      <c r="Q6" s="124"/>
      <c r="R6" s="124"/>
      <c r="S6" s="251"/>
      <c r="T6" s="251"/>
      <c r="U6" s="260"/>
      <c r="V6" s="543"/>
      <c r="W6" s="125"/>
      <c r="X6" s="522"/>
      <c r="Y6" s="522"/>
      <c r="Z6" s="522"/>
      <c r="AA6" s="522"/>
      <c r="AB6" s="522"/>
    </row>
    <row r="7" spans="1:28" x14ac:dyDescent="0.25">
      <c r="A7" s="210" t="s">
        <v>433</v>
      </c>
      <c r="B7" s="7" t="str">
        <f>IF(  AND(ISNUMBER(C7),OR(ISNUMBER(D7),D7="PG")),IF(IF(Capa!$B$6="B",0,Capa!$B$6)&gt;=C7,1,0),"")</f>
        <v/>
      </c>
      <c r="C7" s="11" t="str">
        <f t="shared" si="1"/>
        <v/>
      </c>
      <c r="D7" s="15"/>
      <c r="E7" s="258" t="s">
        <v>434</v>
      </c>
      <c r="F7" s="381">
        <f>IF(COUNTIFS($A$1:$A$235,"="&amp;A7&amp;"?",$B$1:$B$235,"&gt;0",$D$1:$D$235,"&gt;0")&gt;0,(COUNTIFS($A$1:$A$235,"="&amp;A7&amp;"?",$B$1:$B$235,"&gt;0",$D$1:$D$235,"&gt;0",F$1:F$235,"=S")+COUNTIFS($A$1:$A$235,"="&amp;A7&amp;"?",$B$1:$B$235,"&gt;0",$D$1:$D$235,"&gt;0",$F$1:$F$235,"=P")+COUNTIFS($A$1:$A$235,"="&amp;A7&amp;"?",$B$1:$B$235,"&gt;0",$D$1:$D$235,"&gt;0",F$1:F$235,"=N")+COUNTIFS($A$1:$A$235,"="&amp;A7&amp;"?",$B$1:$B$235,"&gt;0",$D$1:$D$235,"&gt;0",F$1:F$235,"=NA"))/COUNTIFS($A$1:$A$235,"="&amp;A7&amp;"?",$B$1:$B$235,"&gt;0",$D$1:$D$235,"&gt;0"),0)</f>
        <v>0</v>
      </c>
      <c r="G7" s="232"/>
      <c r="H7" s="232"/>
      <c r="I7" s="381">
        <f>IF(COUNTIFS($A$1:$A$235,"="&amp;A7&amp;"?",$B$1:$B$235,"&gt;0",$D$1:$D$235,"&gt;0")&gt;0,
        (COUNTIFS($A$1:$A$235,"="&amp;A7&amp;"?",$B$1:$B$235,"&gt;0",$D$1:$D$235,"&gt;0",F$1:F$235,"=S",I$1:I$235,"") +
         (COUNTIFS($A$1:$A$235,"="&amp;A7&amp;"?",$B$1:$B$235,"&gt;0",$D$1:$D$235,"&gt;0",$F$1:$F$235,"=P",I$1:I$235,"")/2) +
         COUNTIFS($A$1:$A$235,"="&amp;A7&amp;"?",$B$1:$B$235,"&gt;0",$D$1:$D$235,"&gt;0",I$1:I$235,"=S") +
         (COUNTIFS($A$1:$A$235,"="&amp;A7&amp;"?",$B$1:$B$235,"&gt;0",$D$1:$D$235,"&gt;0",I$1:I$235,"=P")/2)
         )/COUNTIFS($A$1:$A$235,"="&amp;A7&amp;"?",$B$1:$B$235,"&gt;0",$D$1:$D$235,"&gt;0"),0)</f>
        <v>0</v>
      </c>
      <c r="J7" s="219"/>
      <c r="K7" s="259"/>
      <c r="L7" s="219"/>
      <c r="M7" s="722">
        <f>(M8*20+N8*10+O8*10+Q8*30+R8*15+S8*15)/100</f>
        <v>0</v>
      </c>
      <c r="N7" s="723"/>
      <c r="O7" s="723"/>
      <c r="P7" s="723"/>
      <c r="Q7" s="723"/>
      <c r="R7" s="723"/>
      <c r="S7" s="723"/>
      <c r="T7" s="724"/>
      <c r="U7" s="450"/>
      <c r="V7" s="537"/>
      <c r="W7" s="66"/>
      <c r="X7" s="579"/>
      <c r="Y7" s="579"/>
      <c r="Z7" s="579"/>
      <c r="AA7" s="579"/>
      <c r="AB7" s="579"/>
    </row>
    <row r="8" spans="1:28" ht="16.7" customHeight="1" x14ac:dyDescent="0.25">
      <c r="A8" s="210" t="s">
        <v>433</v>
      </c>
      <c r="B8" s="7" t="str">
        <f>IF(  AND(ISNUMBER(C8),OR(ISNUMBER(D8),D8="PG")),IF(IF(Capa!$B$6="B",0,Capa!$B$6)&gt;=C8,1,0),"")</f>
        <v/>
      </c>
      <c r="C8" s="109" t="str">
        <f t="shared" si="1"/>
        <v/>
      </c>
      <c r="D8" s="110"/>
      <c r="E8" s="98">
        <f>IF(SUMIFS($B$1:$B$235,$A$1:$A$235,"="&amp;A7&amp;"?",B$1:B$235,"&gt;0")&lt;=0,0,COUNTIFS($F$1:$F$235,"*",$A$1:$A$235,"="&amp;A7&amp;"?",B$1:B$235,"&gt;0")/SUMIFS($B$1:$B$235,$A$1:$A$235,"="&amp;A7&amp;"?",B$1:B$235,"&gt;0"))</f>
        <v>0</v>
      </c>
      <c r="F8" s="116"/>
      <c r="G8" s="252"/>
      <c r="H8" s="253"/>
      <c r="I8" s="116"/>
      <c r="J8" s="253"/>
      <c r="K8" s="254"/>
      <c r="L8" s="255"/>
      <c r="M8" s="100">
        <f>(COUNTIFS($A$1:$A$235,"="&amp;$A7&amp;"?",$B$1:$B$235,"&gt;0",$D$1:$D$235,"=PG",M$1:M$235,"=1")*(IF(Capa!$B$6="B",100,IF(Capa!$B$6=1,50,IF(Capa!$B$6=2,33,25))))+COUNTIFS($A$1:$A$235,"="&amp;$A7&amp;"?",$B$1:$B$235,"&gt;0",$D$1:$D$235,"=PG",M$1:M$235,"=2")*(IF(Capa!$B$6="B",100,IF(Capa!$B$6=1,100,IF(Capa!$B$6=2,67,50))))+COUNTIFS($A$1:$A$235,"="&amp;$A7&amp;"?",$B$1:$B$235,"&gt;0",$D$1:$D$235,"=PG",M$1:M$235,"=3")*(IF(Capa!$B$6="B",100,IF(Capa!$B$6=1,100,IF(Capa!$B$6=2,100,75))))+COUNTIFS($A$1:$A$235,"="&amp;$A7&amp;"?",$B$1:$B$235,"&gt;0",$D$1:$D$235,"=PG",M$1:M$235,"=4")*100)/(COUNTIFS($A$1:$A$235,"="&amp;$A7&amp;"?",$B$1:$B$235,"&gt;0",$D$1:$D$235,"=PG")*100)</f>
        <v>0</v>
      </c>
      <c r="N8" s="100">
        <f>(COUNTIFS($A$1:$A$235,"="&amp;$A7&amp;"?",$B$1:$B$235,"&gt;0",$D$1:$D$235,"=PG",N$1:N$235,"=1")*(IF(Capa!$B$6="B",100,IF(Capa!$B$6=1,50,IF(Capa!$B$6=2,33,25))))+COUNTIFS($A$1:$A$235,"="&amp;$A7&amp;"?",$B$1:$B$235,"&gt;0",$D$1:$D$235,"=PG",N$1:N$235,"=2")*(IF(Capa!$B$6="B",100,IF(Capa!$B$6=1,100,IF(Capa!$B$6=2,67,50))))+COUNTIFS($A$1:$A$235,"="&amp;$A7&amp;"?",$B$1:$B$235,"&gt;0",$D$1:$D$235,"=PG",N$1:N$235,"=3")*(IF(Capa!$B$6="B",100,IF(Capa!$B$6=1,100,IF(Capa!$B$6=2,100,75))))+COUNTIFS($A$1:$A$235,"="&amp;$A7&amp;"?",$B$1:$B$235,"&gt;0",$D$1:$D$235,"=PG",N$1:N$235,"=4")*100)/(COUNTIFS($A$1:$A$235,"="&amp;$A7&amp;"?",$B$1:$B$235,"&gt;0",$D$1:$D$235,"=PG")*100)</f>
        <v>0</v>
      </c>
      <c r="O8" s="100">
        <f>(COUNTIFS($A$1:$A$235,"="&amp;$A7&amp;"?",$B$1:$B$235,"&gt;0",$D$1:$D$235,"=PG",O$1:O$235,"=1")*(IF(Capa!$B$6="B",100,IF(Capa!$B$6=1,50,IF(Capa!$B$6=2,33,25))))+COUNTIFS($A$1:$A$235,"="&amp;$A7&amp;"?",$B$1:$B$235,"&gt;0",$D$1:$D$235,"=PG",O$1:O$235,"=2")*(IF(Capa!$B$6="B",100,IF(Capa!$B$6=1,100,IF(Capa!$B$6=2,67,50))))+COUNTIFS($A$1:$A$235,"="&amp;$A7&amp;"?",$B$1:$B$235,"&gt;0",$D$1:$D$235,"=PG",O$1:O$235,"=3")*(IF(Capa!$B$6="B",100,IF(Capa!$B$6=1,100,IF(Capa!$B$6=2,100,75))))+COUNTIFS($A$1:$A$235,"="&amp;$A7&amp;"?",$B$1:$B$235,"&gt;0",$D$1:$D$235,"=PG",O$1:O$235,"=4")*100)/(COUNTIFS($A$1:$A$235,"="&amp;$A7&amp;"?",$B$1:$B$235,"&gt;0",$D$1:$D$235,"=PG")*100)</f>
        <v>0</v>
      </c>
      <c r="P8" s="414">
        <f>P11+P25</f>
        <v>0</v>
      </c>
      <c r="Q8" s="100">
        <f>(COUNTIFS($A$1:$A$235,"="&amp;$A7&amp;"?",$B$1:$B$235,"",$L$1:$L$235,"&gt;=0",Q$1:Q$235,"=1")*(IF(Capa!$B$6="B",100,IF(Capa!$B$6=1,50,IF(Capa!$B$6=2,33,25))))+COUNTIFS($A$1:$A$235,"="&amp;$A7&amp;"?",$B$1:$B$235,"",$L$1:$L$235,"&gt;=0",Q$1:Q$235,"=2")*(IF(Capa!$B$6="B",100,IF(Capa!$B$6=1,100,IF(Capa!$B$6=2,67,50))))+COUNTIFS($A$1:$A$235,"="&amp;$A7&amp;"?",$B$1:$B$235,"",$L$1:$L$235,"&gt;=0",Q$1:Q$235,"=3")*(IF(Capa!$B$6="B",100,IF(Capa!$B$6=1,100,IF(Capa!$B$6=2,100,75))))+COUNTIFS($A$1:$A$235,"="&amp;$A7&amp;"?",$B$1:$B$235,"",$L$1:$L$235,"&gt;=0",Q$1:Q$235,"=4")*100)/(COUNTIFS($A$1:$A$235,"="&amp;$A7&amp;"?",$B$1:$B$235,"",$L$1:$L$235,"&gt;=0")*100)</f>
        <v>0</v>
      </c>
      <c r="R8" s="100">
        <f>(COUNTIFS($A$1:$A$235,"="&amp;$A7&amp;"?",$B$1:$B$235,"&gt;0",$D$1:$D$235,"=PG",R$1:R$235,"=1")*(IF(Capa!$B$6="B",100,IF(Capa!$B$6=1,50,IF(Capa!$B$6=2,33,25))))+COUNTIFS($A$1:$A$235,"="&amp;$A7&amp;"?",$B$1:$B$235,"&gt;0",$D$1:$D$235,"=PG",R$1:R$235,"=2")*(IF(Capa!$B$6="B",100,IF(Capa!$B$6=1,100,IF(Capa!$B$6=2,67,50))))+COUNTIFS($A$1:$A$235,"="&amp;$A7&amp;"?",$B$1:$B$235,"&gt;0",$D$1:$D$235,"=PG",R$1:R$235,"=3")*(IF(Capa!$B$6="B",100,IF(Capa!$B$6=1,100,IF(Capa!$B$6=2,100,75))))+COUNTIFS($A$1:$A$235,"="&amp;$A7&amp;"?",$B$1:$B$235,"&gt;0",$D$1:$D$235,"=PG",R$1:R$235,"=4")*100)/(COUNTIFS($A$1:$A$235,"="&amp;$A7&amp;"?",$B$1:$B$235,"&gt;0",$D$1:$D$235,"=PG")*100)</f>
        <v>0</v>
      </c>
      <c r="S8" s="100">
        <f>(COUNTIFS($A$1:$A$235,"="&amp;$A7&amp;"?",$B$1:$B$235,"&gt;0",$D$1:$D$235,"=PG",S$1:S$235,"=1")*(IF(Capa!$B$6="B",100,IF(Capa!$B$6=1,50,IF(Capa!$B$6=2,33,25))))+COUNTIFS($A$1:$A$235,"="&amp;$A7&amp;"?",$B$1:$B$235,"&gt;0",$D$1:$D$235,"=PG",S$1:S$235,"=2")*(IF(Capa!$B$6="B",100,IF(Capa!$B$6=1,100,IF(Capa!$B$6=2,67,50))))+COUNTIFS($A$1:$A$235,"="&amp;$A7&amp;"?",$B$1:$B$235,"&gt;0",$D$1:$D$235,"=PG",S$1:S$235,"=3")*(IF(Capa!$B$6="B",100,IF(Capa!$B$6=1,100,IF(Capa!$B$6=2,100,75))))+COUNTIFS($A$1:$A$235,"="&amp;$A7&amp;"?",$B$1:$B$235,"&gt;0",$D$1:$D$235,"=PG",S$1:S$235,"=4")*100)/(COUNTIFS($A$1:$A$235,"="&amp;$A7&amp;"?",$B$1:$B$235,"&gt;0",$D$1:$D$235,"=PG")*100)</f>
        <v>0</v>
      </c>
      <c r="T8" s="414">
        <f>T11+T25</f>
        <v>0</v>
      </c>
      <c r="U8" s="457"/>
      <c r="V8" s="542"/>
      <c r="X8" s="522"/>
      <c r="Y8" s="522"/>
      <c r="Z8" s="522"/>
      <c r="AA8" s="522"/>
      <c r="AB8" s="522"/>
    </row>
    <row r="9" spans="1:28" x14ac:dyDescent="0.25">
      <c r="A9" s="210" t="s">
        <v>435</v>
      </c>
      <c r="B9" s="7" t="str">
        <f>IF(  AND(ISNUMBER(C9),OR(ISNUMBER(D9),D9="PG")),IF(IF(Capa!$B$6="B",0,Capa!$B$6)&gt;=C9,1,0),"")</f>
        <v/>
      </c>
      <c r="C9" s="11" t="str">
        <f t="shared" si="1"/>
        <v/>
      </c>
      <c r="D9" s="15"/>
      <c r="E9" s="395" t="s">
        <v>436</v>
      </c>
      <c r="F9" s="23"/>
      <c r="G9" s="219"/>
      <c r="H9" s="219"/>
      <c r="I9" s="23"/>
      <c r="J9" s="219"/>
      <c r="K9" s="259"/>
      <c r="L9" s="383">
        <f>IF(AND($B11=1,D11="PG"),IF(COUNTIFS($A$1:$A$235,"="&amp;$A9,$B$1:$B$235,"&gt;0",$D$1:$D$235,"&gt;0")&gt;0,
        (COUNTIFS($A$1:$A$235,"="&amp;$A9,$B$1:$B$235,"&gt;0",$D$1:$D$235,"&gt;0",F$1:F$235,"=S",I$1:I$235,"") +
         (COUNTIFS($A$1:$A$235,"="&amp;$A9,$B$1:$B$235,"&gt;0",$D$1:$D$235,"&gt;0",$F$1:$F$235,"=P",I$1:I$235,"")/2) +
         COUNTIFS($A$1:$A$235,"="&amp;$A9,$B$1:$B$235,"&gt;0",$D$1:$D$235,"&gt;0",I$1:I$235,"=S") +
         (COUNTIFS($A$1:$A$235,"="&amp;$A9,$B$1:$B$235,"&gt;0",$D$1:$D$235,"&gt;0",I$1:I$235,"=P")/2)
         )/COUNTIFS($A$1:$A$235,"="&amp;$A9,$B$1:$B$235,"&gt;0",$D$1:$D$235,"&gt;0"),1),"")</f>
        <v>0</v>
      </c>
      <c r="M9" s="380"/>
      <c r="N9" s="70"/>
      <c r="O9" s="68"/>
      <c r="P9" s="68"/>
      <c r="Q9" s="83">
        <f>IF(L9="","",MIN(IF(ISBLANK(Q11),0,Q11),IF(L9&gt;0.9,4,IF(L9&gt;0.5,3,IF(L9&gt;0.3,2,IF(OR(L9&gt;0,Q11&gt;0),1,0))))))</f>
        <v>0</v>
      </c>
      <c r="R9" s="70"/>
      <c r="S9" s="260"/>
      <c r="T9" s="260"/>
      <c r="U9" s="260"/>
      <c r="V9" s="537"/>
      <c r="W9" s="66"/>
      <c r="X9" s="579"/>
      <c r="Y9" s="579"/>
      <c r="Z9" s="579"/>
      <c r="AA9" s="579"/>
      <c r="AB9" s="579"/>
    </row>
    <row r="10" spans="1:28" ht="5.45" customHeight="1" x14ac:dyDescent="0.25">
      <c r="A10" s="210" t="s">
        <v>435</v>
      </c>
      <c r="B10" s="7" t="str">
        <f>IF(  AND(ISNUMBER(C10),OR(ISNUMBER(D10),D10="PG")),IF(IF(Capa!$B$6="B",0,Capa!$B$6)&gt;=C10,1,0),"")</f>
        <v/>
      </c>
      <c r="C10" s="17">
        <f t="shared" si="1"/>
        <v>0</v>
      </c>
      <c r="D10" s="18" t="s">
        <v>53</v>
      </c>
      <c r="E10" s="394"/>
      <c r="F10" s="27"/>
      <c r="G10" s="216"/>
      <c r="H10" s="239"/>
      <c r="I10" s="27"/>
      <c r="J10" s="239"/>
      <c r="K10" s="257"/>
      <c r="L10" s="242"/>
      <c r="M10" s="63"/>
      <c r="N10" s="63"/>
      <c r="O10" s="63"/>
      <c r="P10" s="63"/>
      <c r="Q10" s="63"/>
      <c r="R10" s="63"/>
      <c r="U10" s="287"/>
      <c r="V10" s="542"/>
      <c r="X10" s="522"/>
      <c r="Y10" s="522"/>
      <c r="Z10" s="522"/>
      <c r="AA10" s="522"/>
      <c r="AB10" s="522"/>
    </row>
    <row r="11" spans="1:28" ht="63.75" x14ac:dyDescent="0.25">
      <c r="A11" s="646" t="s">
        <v>435</v>
      </c>
      <c r="B11" s="7">
        <f>IF(  AND(ISNUMBER(C11),OR(ISNUMBER(D11),D11="PG")),IF(IF(Capa!$B$6="B",0,Capa!$B$6)&gt;=C11,1,0),"")</f>
        <v>1</v>
      </c>
      <c r="C11" s="17">
        <f t="shared" si="1"/>
        <v>0</v>
      </c>
      <c r="D11" s="647" t="s">
        <v>54</v>
      </c>
      <c r="E11" s="389" t="s">
        <v>437</v>
      </c>
      <c r="F11" s="513"/>
      <c r="G11" s="468"/>
      <c r="H11" s="241"/>
      <c r="I11" s="29"/>
      <c r="J11" s="239"/>
      <c r="K11" s="471"/>
      <c r="L11" s="697"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76"/>
      <c r="X11" s="666"/>
      <c r="Y11" s="522"/>
      <c r="Z11" s="522"/>
      <c r="AA11" s="522"/>
      <c r="AB11" s="522"/>
    </row>
    <row r="12" spans="1:28" ht="30" x14ac:dyDescent="0.25">
      <c r="A12" s="646" t="s">
        <v>435</v>
      </c>
      <c r="B12" s="7">
        <f>IF(  AND(ISNUMBER(C12),OR(ISNUMBER(D12),D12="PG")),IF(IF(Capa!$B$6="B",0,Capa!$B$6)&gt;=C12,1,0),"")</f>
        <v>1</v>
      </c>
      <c r="C12" s="17">
        <f t="shared" si="1"/>
        <v>0</v>
      </c>
      <c r="D12" s="647">
        <v>261</v>
      </c>
      <c r="E12" s="352" t="s">
        <v>438</v>
      </c>
      <c r="F12" s="513"/>
      <c r="G12" s="468"/>
      <c r="H12" s="241"/>
      <c r="I12" s="29"/>
      <c r="J12" s="425">
        <f>LEN(K12)</f>
        <v>0</v>
      </c>
      <c r="K12" s="471"/>
      <c r="L12" s="697" t="str">
        <f>IF(OR(I12="N",I12="P"),1,"")</f>
        <v/>
      </c>
      <c r="M12" s="719"/>
      <c r="N12" s="720"/>
      <c r="O12" s="720"/>
      <c r="P12" s="720"/>
      <c r="Q12" s="720"/>
      <c r="R12" s="720"/>
      <c r="S12" s="720"/>
      <c r="T12" s="721"/>
      <c r="U12" s="71"/>
      <c r="V12" s="464"/>
      <c r="W12" s="476"/>
      <c r="X12" s="522"/>
      <c r="Y12" s="522"/>
      <c r="Z12" s="522"/>
      <c r="AA12" s="522"/>
      <c r="AB12" s="522"/>
    </row>
    <row r="13" spans="1:28" ht="75" x14ac:dyDescent="0.25">
      <c r="A13" s="646" t="s">
        <v>435</v>
      </c>
      <c r="B13" s="7">
        <f>IF(  AND(ISNUMBER(C13),OR(ISNUMBER(D13),D13="PG")),IF(IF(Capa!$B$6="B",0,Capa!$B$6)&gt;=C13,1,0),"")</f>
        <v>1</v>
      </c>
      <c r="C13" s="17">
        <f t="shared" si="1"/>
        <v>0</v>
      </c>
      <c r="D13" s="647">
        <v>262</v>
      </c>
      <c r="E13" s="352" t="s">
        <v>439</v>
      </c>
      <c r="F13" s="513"/>
      <c r="G13" s="468"/>
      <c r="H13" s="241"/>
      <c r="I13" s="29"/>
      <c r="J13" s="425">
        <f t="shared" ref="J13:J21" si="2">LEN(K13)</f>
        <v>0</v>
      </c>
      <c r="K13" s="471"/>
      <c r="L13" s="697" t="str">
        <f t="shared" ref="L13:L21" si="3">IF(OR(I13="N",I13="P"),1,"")</f>
        <v/>
      </c>
      <c r="M13" s="719"/>
      <c r="N13" s="720"/>
      <c r="O13" s="720"/>
      <c r="P13" s="720"/>
      <c r="Q13" s="720"/>
      <c r="R13" s="720"/>
      <c r="S13" s="720"/>
      <c r="T13" s="721"/>
      <c r="U13" s="71"/>
      <c r="V13" s="464"/>
      <c r="W13" s="476"/>
      <c r="X13" s="666"/>
      <c r="Y13" s="522"/>
      <c r="Z13" s="522"/>
      <c r="AA13" s="522"/>
      <c r="AB13" s="522"/>
    </row>
    <row r="14" spans="1:28" ht="7.7" customHeight="1" x14ac:dyDescent="0.25">
      <c r="A14" s="646" t="s">
        <v>435</v>
      </c>
      <c r="B14" s="7" t="str">
        <f>IF(  AND(ISNUMBER(C14),OR(ISNUMBER(D14),D14="PG")),IF(IF(Capa!$B$6="B",0,Capa!$B$6)&gt;=C14,1,0),"")</f>
        <v/>
      </c>
      <c r="C14" s="17">
        <f t="shared" si="1"/>
        <v>1</v>
      </c>
      <c r="D14" s="647" t="s">
        <v>62</v>
      </c>
      <c r="E14" s="352"/>
      <c r="F14" s="513"/>
      <c r="G14" s="468"/>
      <c r="H14" s="241"/>
      <c r="I14" s="29"/>
      <c r="J14" s="425">
        <f t="shared" si="2"/>
        <v>0</v>
      </c>
      <c r="K14" s="471"/>
      <c r="L14" s="697" t="str">
        <f t="shared" si="3"/>
        <v/>
      </c>
      <c r="M14" s="719"/>
      <c r="N14" s="720"/>
      <c r="O14" s="720"/>
      <c r="P14" s="720"/>
      <c r="Q14" s="720"/>
      <c r="R14" s="720"/>
      <c r="S14" s="720"/>
      <c r="T14" s="721"/>
      <c r="U14" s="71"/>
      <c r="V14" s="464"/>
      <c r="W14" s="476"/>
      <c r="X14" s="666"/>
      <c r="Y14" s="522"/>
      <c r="Z14" s="522"/>
      <c r="AA14" s="522"/>
      <c r="AB14" s="522"/>
    </row>
    <row r="15" spans="1:28" ht="47.45" customHeight="1" x14ac:dyDescent="0.25">
      <c r="A15" s="646" t="s">
        <v>435</v>
      </c>
      <c r="B15" s="7">
        <f>IF(  AND(ISNUMBER(C15),OR(ISNUMBER(D15),D15="PG")),IF(IF(Capa!$B$6="B",0,Capa!$B$6)&gt;=C15,1,0),"")</f>
        <v>0</v>
      </c>
      <c r="C15" s="17">
        <f t="shared" si="1"/>
        <v>1</v>
      </c>
      <c r="D15" s="647">
        <v>263</v>
      </c>
      <c r="E15" s="352" t="s">
        <v>440</v>
      </c>
      <c r="F15" s="513"/>
      <c r="G15" s="468"/>
      <c r="H15" s="241"/>
      <c r="I15" s="29"/>
      <c r="J15" s="425">
        <f t="shared" si="2"/>
        <v>0</v>
      </c>
      <c r="K15" s="471"/>
      <c r="L15" s="697" t="str">
        <f t="shared" si="3"/>
        <v/>
      </c>
      <c r="M15" s="719"/>
      <c r="N15" s="720"/>
      <c r="O15" s="720"/>
      <c r="P15" s="720"/>
      <c r="Q15" s="720"/>
      <c r="R15" s="720"/>
      <c r="S15" s="720"/>
      <c r="T15" s="721"/>
      <c r="U15" s="71"/>
      <c r="V15" s="464"/>
      <c r="W15" s="476"/>
      <c r="X15" s="666"/>
      <c r="Y15" s="522"/>
      <c r="Z15" s="522"/>
      <c r="AA15" s="522"/>
      <c r="AB15" s="522"/>
    </row>
    <row r="16" spans="1:28" ht="7.7" customHeight="1" x14ac:dyDescent="0.25">
      <c r="A16" s="646" t="s">
        <v>435</v>
      </c>
      <c r="B16" s="7" t="str">
        <f>IF(  AND(ISNUMBER(C16),OR(ISNUMBER(D16),D16="PG")),IF(IF(Capa!$B$6="B",0,Capa!$B$6)&gt;=C16,1,0),"")</f>
        <v/>
      </c>
      <c r="C16" s="17">
        <f t="shared" si="1"/>
        <v>2</v>
      </c>
      <c r="D16" s="647" t="s">
        <v>64</v>
      </c>
      <c r="E16" s="352"/>
      <c r="F16" s="513"/>
      <c r="G16" s="468"/>
      <c r="H16" s="241"/>
      <c r="I16" s="29"/>
      <c r="J16" s="425">
        <f t="shared" si="2"/>
        <v>0</v>
      </c>
      <c r="K16" s="471"/>
      <c r="L16" s="697" t="str">
        <f t="shared" si="3"/>
        <v/>
      </c>
      <c r="M16" s="719"/>
      <c r="N16" s="720"/>
      <c r="O16" s="720"/>
      <c r="P16" s="720"/>
      <c r="Q16" s="720"/>
      <c r="R16" s="720"/>
      <c r="S16" s="720"/>
      <c r="T16" s="721"/>
      <c r="U16" s="71"/>
      <c r="V16" s="464"/>
      <c r="W16" s="476"/>
      <c r="X16" s="666"/>
      <c r="Y16" s="522"/>
      <c r="Z16" s="522"/>
      <c r="AA16" s="522"/>
      <c r="AB16" s="522"/>
    </row>
    <row r="17" spans="1:28" ht="48.6" customHeight="1" x14ac:dyDescent="0.25">
      <c r="A17" s="646" t="s">
        <v>435</v>
      </c>
      <c r="B17" s="7">
        <f>IF(  AND(ISNUMBER(C17),OR(ISNUMBER(D17),D17="PG")),IF(IF(Capa!$B$6="B",0,Capa!$B$6)&gt;=C17,1,0),"")</f>
        <v>0</v>
      </c>
      <c r="C17" s="17">
        <f t="shared" si="1"/>
        <v>2</v>
      </c>
      <c r="D17" s="647">
        <v>264</v>
      </c>
      <c r="E17" s="352" t="s">
        <v>441</v>
      </c>
      <c r="F17" s="513"/>
      <c r="G17" s="468"/>
      <c r="H17" s="241"/>
      <c r="I17" s="29"/>
      <c r="J17" s="425">
        <f t="shared" si="2"/>
        <v>0</v>
      </c>
      <c r="K17" s="471"/>
      <c r="L17" s="697" t="str">
        <f t="shared" si="3"/>
        <v/>
      </c>
      <c r="M17" s="719"/>
      <c r="N17" s="720"/>
      <c r="O17" s="720"/>
      <c r="P17" s="720"/>
      <c r="Q17" s="720"/>
      <c r="R17" s="720"/>
      <c r="S17" s="720"/>
      <c r="T17" s="721"/>
      <c r="U17" s="71"/>
      <c r="V17" s="464"/>
      <c r="W17" s="476"/>
      <c r="X17" s="666"/>
      <c r="Y17" s="522"/>
      <c r="Z17" s="522"/>
      <c r="AA17" s="522"/>
      <c r="AB17" s="522"/>
    </row>
    <row r="18" spans="1:28" ht="76.150000000000006" customHeight="1" x14ac:dyDescent="0.25">
      <c r="A18" s="646" t="s">
        <v>435</v>
      </c>
      <c r="B18" s="7">
        <f>IF(  AND(ISNUMBER(C18),OR(ISNUMBER(D18),D18="PG")),IF(IF(Capa!$B$6="B",0,Capa!$B$6)&gt;=C18,1,0),"")</f>
        <v>0</v>
      </c>
      <c r="C18" s="17">
        <f t="shared" si="1"/>
        <v>2</v>
      </c>
      <c r="D18" s="647">
        <v>265</v>
      </c>
      <c r="E18" s="352" t="s">
        <v>442</v>
      </c>
      <c r="F18" s="513"/>
      <c r="G18" s="468"/>
      <c r="H18" s="241"/>
      <c r="I18" s="29"/>
      <c r="J18" s="425">
        <f t="shared" si="2"/>
        <v>0</v>
      </c>
      <c r="K18" s="471"/>
      <c r="L18" s="697" t="str">
        <f t="shared" si="3"/>
        <v/>
      </c>
      <c r="M18" s="719"/>
      <c r="N18" s="720"/>
      <c r="O18" s="720"/>
      <c r="P18" s="720"/>
      <c r="Q18" s="720"/>
      <c r="R18" s="720"/>
      <c r="S18" s="720"/>
      <c r="T18" s="721"/>
      <c r="U18" s="71"/>
      <c r="V18" s="464"/>
      <c r="W18" s="476"/>
      <c r="X18" s="666"/>
      <c r="Y18" s="522"/>
      <c r="Z18" s="522"/>
      <c r="AA18" s="522"/>
      <c r="AB18" s="522"/>
    </row>
    <row r="19" spans="1:28" ht="7.35" customHeight="1" x14ac:dyDescent="0.25">
      <c r="A19" s="646" t="s">
        <v>435</v>
      </c>
      <c r="B19" s="7" t="str">
        <f>IF(  AND(ISNUMBER(C19),OR(ISNUMBER(D19),D19="PG")),IF(IF(Capa!$B$6="B",0,Capa!$B$6)&gt;=C19,1,0),"")</f>
        <v/>
      </c>
      <c r="C19" s="17">
        <f t="shared" si="1"/>
        <v>3</v>
      </c>
      <c r="D19" s="647" t="s">
        <v>70</v>
      </c>
      <c r="E19" s="352"/>
      <c r="F19" s="513"/>
      <c r="G19" s="468"/>
      <c r="H19" s="241"/>
      <c r="I19" s="29"/>
      <c r="J19" s="425">
        <f t="shared" si="2"/>
        <v>0</v>
      </c>
      <c r="K19" s="471"/>
      <c r="L19" s="697" t="str">
        <f t="shared" si="3"/>
        <v/>
      </c>
      <c r="M19" s="719"/>
      <c r="N19" s="720"/>
      <c r="O19" s="720"/>
      <c r="P19" s="720"/>
      <c r="Q19" s="720"/>
      <c r="R19" s="720"/>
      <c r="S19" s="720"/>
      <c r="T19" s="721"/>
      <c r="U19" s="71"/>
      <c r="V19" s="464"/>
      <c r="W19" s="476"/>
      <c r="X19" s="522"/>
      <c r="Y19" s="522"/>
      <c r="Z19" s="522"/>
      <c r="AA19" s="522"/>
      <c r="AB19" s="522"/>
    </row>
    <row r="20" spans="1:28" ht="45" x14ac:dyDescent="0.25">
      <c r="A20" s="646" t="s">
        <v>435</v>
      </c>
      <c r="B20" s="7">
        <f>IF(  AND(ISNUMBER(C20),OR(ISNUMBER(D20),D20="PG")),IF(IF(Capa!$B$6="B",0,Capa!$B$6)&gt;=C20,1,0),"")</f>
        <v>0</v>
      </c>
      <c r="C20" s="17">
        <f t="shared" si="1"/>
        <v>3</v>
      </c>
      <c r="D20" s="647">
        <v>266</v>
      </c>
      <c r="E20" s="352" t="s">
        <v>443</v>
      </c>
      <c r="F20" s="513"/>
      <c r="G20" s="468"/>
      <c r="H20" s="241"/>
      <c r="I20" s="29"/>
      <c r="J20" s="425">
        <f t="shared" si="2"/>
        <v>0</v>
      </c>
      <c r="K20" s="471"/>
      <c r="L20" s="697" t="str">
        <f t="shared" si="3"/>
        <v/>
      </c>
      <c r="M20" s="719"/>
      <c r="N20" s="720"/>
      <c r="O20" s="720"/>
      <c r="P20" s="720"/>
      <c r="Q20" s="720"/>
      <c r="R20" s="720"/>
      <c r="S20" s="720"/>
      <c r="T20" s="721"/>
      <c r="U20" s="71"/>
      <c r="V20" s="464"/>
      <c r="W20" s="476"/>
      <c r="X20" s="522"/>
      <c r="Y20" s="522"/>
      <c r="Z20" s="522"/>
      <c r="AA20" s="522"/>
      <c r="AB20" s="522"/>
    </row>
    <row r="21" spans="1:28" ht="38.450000000000003" customHeight="1" x14ac:dyDescent="0.25">
      <c r="A21" s="646" t="s">
        <v>435</v>
      </c>
      <c r="B21" s="7">
        <f>IF(  AND(ISNUMBER(C21),OR(ISNUMBER(D21),D21="PG")),IF(IF(Capa!$B$6="B",0,Capa!$B$6)&gt;=C21,1,0),"")</f>
        <v>0</v>
      </c>
      <c r="C21" s="17">
        <f t="shared" si="1"/>
        <v>3</v>
      </c>
      <c r="D21" s="647">
        <v>267</v>
      </c>
      <c r="E21" s="352" t="s">
        <v>444</v>
      </c>
      <c r="F21" s="513"/>
      <c r="G21" s="468"/>
      <c r="H21" s="241"/>
      <c r="I21" s="29"/>
      <c r="J21" s="425">
        <f t="shared" si="2"/>
        <v>0</v>
      </c>
      <c r="K21" s="471"/>
      <c r="L21" s="697" t="str">
        <f t="shared" si="3"/>
        <v/>
      </c>
      <c r="M21" s="719"/>
      <c r="N21" s="720"/>
      <c r="O21" s="720"/>
      <c r="P21" s="720"/>
      <c r="Q21" s="720"/>
      <c r="R21" s="720"/>
      <c r="S21" s="720"/>
      <c r="T21" s="721"/>
      <c r="U21" s="71"/>
      <c r="V21" s="464"/>
      <c r="W21" s="476"/>
      <c r="X21" s="522"/>
      <c r="Y21" s="522"/>
      <c r="Z21" s="522"/>
      <c r="AA21" s="522"/>
      <c r="AB21" s="522"/>
    </row>
    <row r="22" spans="1:28" ht="9" customHeight="1" x14ac:dyDescent="0.25">
      <c r="B22" s="7" t="str">
        <f>IF(  AND(ISNUMBER(C22),OR(ISNUMBER(D22),D22="PG")),IF(IF(Capa!$B$6="B",0,Capa!$B$6)&gt;=C22,1,0),"")</f>
        <v/>
      </c>
      <c r="C22" s="17" t="str">
        <f t="shared" si="1"/>
        <v/>
      </c>
      <c r="D22" s="122"/>
      <c r="E22" s="291"/>
      <c r="F22" s="123"/>
      <c r="G22" s="227"/>
      <c r="H22" s="227"/>
      <c r="I22" s="123"/>
      <c r="J22" s="227"/>
      <c r="K22" s="694"/>
      <c r="L22" s="227"/>
      <c r="M22" s="124"/>
      <c r="N22" s="124"/>
      <c r="O22" s="124"/>
      <c r="P22" s="124"/>
      <c r="Q22" s="124"/>
      <c r="R22" s="124"/>
      <c r="S22" s="251"/>
      <c r="T22" s="251"/>
      <c r="U22" s="260"/>
      <c r="V22" s="543"/>
      <c r="W22" s="125"/>
      <c r="X22" s="522"/>
      <c r="Y22" s="522"/>
      <c r="Z22" s="522"/>
      <c r="AA22" s="522"/>
      <c r="AB22" s="522"/>
    </row>
    <row r="23" spans="1:28" x14ac:dyDescent="0.25">
      <c r="A23" s="210" t="s">
        <v>445</v>
      </c>
      <c r="B23" s="7" t="str">
        <f>IF(  AND(ISNUMBER(C23),OR(ISNUMBER(D23),D23="PG")),IF(IF(Capa!$B$6="B",0,Capa!$B$6)&gt;=C23,1,0),"")</f>
        <v/>
      </c>
      <c r="C23" s="17" t="str">
        <f t="shared" si="1"/>
        <v/>
      </c>
      <c r="D23" s="15"/>
      <c r="E23" s="395" t="s">
        <v>446</v>
      </c>
      <c r="F23" s="517"/>
      <c r="G23" s="532"/>
      <c r="H23" s="219"/>
      <c r="I23" s="23"/>
      <c r="J23" s="219"/>
      <c r="K23" s="528"/>
      <c r="L23" s="383">
        <f>IF(AND($B25=1,D25="PG"),IF(COUNTIFS($A$1:$A$235,"="&amp;$A23,$B$1:$B$235,"&gt;0",$D$1:$D$235,"&gt;0")&gt;0,
        (COUNTIFS($A$1:$A$235,"="&amp;$A23,$B$1:$B$235,"&gt;0",$D$1:$D$235,"&gt;0",F$1:F$235,"=S",I$1:I$235,"") +
         (COUNTIFS($A$1:$A$235,"="&amp;$A23,$B$1:$B$235,"&gt;0",$D$1:$D$235,"&gt;0",$F$1:$F$235,"=P",I$1:I$235,"")/2) +
         COUNTIFS($A$1:$A$235,"="&amp;$A23,$B$1:$B$235,"&gt;0",$D$1:$D$235,"&gt;0",I$1:I$235,"=S") +
         (COUNTIFS($A$1:$A$235,"="&amp;$A23,$B$1:$B$235,"&gt;0",$D$1:$D$235,"&gt;0",I$1:I$235,"=P")/2)
         )/COUNTIFS($A$1:$A$235,"="&amp;$A23,$B$1:$B$235,"&gt;0",$D$1:$D$235,"&gt;0"),1),"")</f>
        <v>0</v>
      </c>
      <c r="M23" s="380"/>
      <c r="N23" s="70"/>
      <c r="O23" s="68"/>
      <c r="P23" s="68"/>
      <c r="Q23" s="83">
        <f>IF(L23="","",MIN(IF(ISBLANK(Q25),0,Q25),IF(L23&gt;0.9,4,IF(L23&gt;0.5,3,IF(L23&gt;0.3,2,IF(OR(L23&gt;0,Q25&gt;0),1,0))))))</f>
        <v>0</v>
      </c>
      <c r="R23" s="70"/>
      <c r="S23" s="260"/>
      <c r="T23" s="260"/>
      <c r="U23" s="260"/>
      <c r="V23" s="537"/>
      <c r="W23" s="66"/>
      <c r="X23" s="579"/>
      <c r="Y23" s="579"/>
      <c r="Z23" s="579"/>
      <c r="AA23" s="579"/>
      <c r="AB23" s="579"/>
    </row>
    <row r="24" spans="1:28" ht="5.45" customHeight="1" x14ac:dyDescent="0.25">
      <c r="A24" s="210" t="s">
        <v>445</v>
      </c>
      <c r="B24" s="7" t="str">
        <f>IF(  AND(ISNUMBER(C24),OR(ISNUMBER(D24),D24="PG")),IF(IF(Capa!$B$6="B",0,Capa!$B$6)&gt;=C24,1,0),"")</f>
        <v/>
      </c>
      <c r="C24" s="17">
        <f t="shared" si="1"/>
        <v>0</v>
      </c>
      <c r="D24" s="13" t="s">
        <v>53</v>
      </c>
      <c r="E24" s="394"/>
      <c r="F24" s="516"/>
      <c r="G24" s="533"/>
      <c r="H24" s="239"/>
      <c r="I24" s="26"/>
      <c r="J24" s="239"/>
      <c r="K24" s="529"/>
      <c r="L24" s="242"/>
      <c r="M24" s="59"/>
      <c r="N24" s="59"/>
      <c r="O24" s="59"/>
      <c r="P24" s="59"/>
      <c r="Q24" s="59"/>
      <c r="R24" s="59"/>
      <c r="S24" s="262"/>
      <c r="T24" s="262"/>
      <c r="U24" s="355"/>
      <c r="V24" s="538"/>
      <c r="W24" s="478"/>
      <c r="X24" s="522"/>
      <c r="Y24" s="522"/>
      <c r="Z24" s="522"/>
      <c r="AA24" s="522"/>
      <c r="AB24" s="522"/>
    </row>
    <row r="25" spans="1:28" ht="51" x14ac:dyDescent="0.25">
      <c r="A25" s="646" t="s">
        <v>445</v>
      </c>
      <c r="B25" s="7">
        <f>IF(  AND(ISNUMBER(C25),OR(ISNUMBER(D25),D25="PG")),IF(IF(Capa!$B$6="B",0,Capa!$B$6)&gt;=C25,1,0),"")</f>
        <v>1</v>
      </c>
      <c r="C25" s="17">
        <f t="shared" si="1"/>
        <v>0</v>
      </c>
      <c r="D25" s="647" t="s">
        <v>54</v>
      </c>
      <c r="E25" s="389" t="s">
        <v>447</v>
      </c>
      <c r="F25" s="513"/>
      <c r="G25" s="468"/>
      <c r="H25" s="241"/>
      <c r="I25" s="29"/>
      <c r="J25" s="239"/>
      <c r="K25" s="471"/>
      <c r="L25" s="697" t="str">
        <f>IF(OR(AND(NOT(ISBLANK(M25)),M25&lt;IF(Capa!$B$6&lt;&gt;"B",Capa!$B$6+1,1)),AND(NOT(ISBLANK(N25)),N25&lt;IF(Capa!$B$6&lt;&gt;"B",Capa!$B$6+1,1)),AND(NOT(ISBLANK(O25)),O25&lt;IF(Capa!$B$6&lt;&gt;"B",Capa!$B$6+1,1)),AND(NOT(ISBLANK(Q25)),Q25&lt;IF(Capa!$B$6&lt;&gt;"B",Capa!$B$6+1,1)),AND(NOT(ISBLANK(R25)),R25&lt;IF(Capa!$B$6&lt;&gt;"B",Capa!$B$6+1,1)),AND(NOT(ISBLANK(S25)),S25&lt;IF(Capa!$B$6&lt;&gt;"B",Capa!$B$6+1,1))),1,"")</f>
        <v/>
      </c>
      <c r="M25" s="81"/>
      <c r="N25" s="81"/>
      <c r="O25" s="81"/>
      <c r="P25" s="81"/>
      <c r="Q25" s="81"/>
      <c r="R25" s="81"/>
      <c r="S25" s="81"/>
      <c r="T25" s="81"/>
      <c r="U25" s="58"/>
      <c r="V25" s="464"/>
      <c r="W25" s="476"/>
      <c r="X25" s="666"/>
      <c r="Y25" s="522"/>
      <c r="Z25" s="522"/>
      <c r="AA25" s="522"/>
      <c r="AB25" s="522"/>
    </row>
    <row r="26" spans="1:28" ht="45" x14ac:dyDescent="0.25">
      <c r="A26" s="646" t="s">
        <v>445</v>
      </c>
      <c r="B26" s="7">
        <f>IF(  AND(ISNUMBER(C26),OR(ISNUMBER(D26),D26="PG")),IF(IF(Capa!$B$6="B",0,Capa!$B$6)&gt;=C26,1,0),"")</f>
        <v>1</v>
      </c>
      <c r="C26" s="17">
        <f t="shared" si="1"/>
        <v>0</v>
      </c>
      <c r="D26" s="647">
        <v>268</v>
      </c>
      <c r="E26" s="352" t="s">
        <v>448</v>
      </c>
      <c r="F26" s="513"/>
      <c r="G26" s="468"/>
      <c r="H26" s="241"/>
      <c r="I26" s="29"/>
      <c r="J26" s="425">
        <f t="shared" ref="J26:J40" si="4">LEN(K26)</f>
        <v>0</v>
      </c>
      <c r="K26" s="471"/>
      <c r="L26" s="697" t="str">
        <f t="shared" ref="L26:L40" si="5">IF(OR(I26="N",I26="P"),1,"")</f>
        <v/>
      </c>
      <c r="M26" s="719"/>
      <c r="N26" s="720"/>
      <c r="O26" s="720"/>
      <c r="P26" s="720"/>
      <c r="Q26" s="720"/>
      <c r="R26" s="720"/>
      <c r="S26" s="720"/>
      <c r="T26" s="721"/>
      <c r="U26" s="71"/>
      <c r="V26" s="464"/>
      <c r="W26" s="476"/>
      <c r="X26" s="522"/>
      <c r="Y26" s="522"/>
      <c r="Z26" s="522"/>
      <c r="AA26" s="522"/>
      <c r="AB26" s="522"/>
    </row>
    <row r="27" spans="1:28" ht="30" x14ac:dyDescent="0.25">
      <c r="A27" s="646" t="s">
        <v>445</v>
      </c>
      <c r="B27" s="7">
        <f>IF(  AND(ISNUMBER(C27),OR(ISNUMBER(D27),D27="PG")),IF(IF(Capa!$B$6="B",0,Capa!$B$6)&gt;=C27,1,0),"")</f>
        <v>1</v>
      </c>
      <c r="C27" s="17">
        <f t="shared" si="1"/>
        <v>0</v>
      </c>
      <c r="D27" s="647">
        <v>269</v>
      </c>
      <c r="E27" s="352" t="s">
        <v>449</v>
      </c>
      <c r="F27" s="513"/>
      <c r="G27" s="468"/>
      <c r="H27" s="241"/>
      <c r="I27" s="29"/>
      <c r="J27" s="425">
        <f t="shared" si="4"/>
        <v>0</v>
      </c>
      <c r="K27" s="471"/>
      <c r="L27" s="697" t="str">
        <f t="shared" si="5"/>
        <v/>
      </c>
      <c r="M27" s="719"/>
      <c r="N27" s="720"/>
      <c r="O27" s="720"/>
      <c r="P27" s="720"/>
      <c r="Q27" s="720"/>
      <c r="R27" s="720"/>
      <c r="S27" s="720"/>
      <c r="T27" s="721"/>
      <c r="U27" s="71"/>
      <c r="V27" s="464"/>
      <c r="W27" s="476"/>
      <c r="X27" s="522"/>
      <c r="Y27" s="522"/>
      <c r="Z27" s="522"/>
      <c r="AA27" s="522"/>
      <c r="AB27" s="522"/>
    </row>
    <row r="28" spans="1:28" ht="7.7" customHeight="1" x14ac:dyDescent="0.25">
      <c r="A28" s="646" t="s">
        <v>445</v>
      </c>
      <c r="B28" s="7" t="str">
        <f>IF(  AND(ISNUMBER(C28),OR(ISNUMBER(D28),D28="PG")),IF(IF(Capa!$B$6="B",0,Capa!$B$6)&gt;=C28,1,0),"")</f>
        <v/>
      </c>
      <c r="C28" s="17">
        <f t="shared" si="1"/>
        <v>1</v>
      </c>
      <c r="D28" s="647" t="s">
        <v>62</v>
      </c>
      <c r="E28" s="352"/>
      <c r="F28" s="513"/>
      <c r="G28" s="468"/>
      <c r="H28" s="241"/>
      <c r="I28" s="29"/>
      <c r="J28" s="425">
        <f t="shared" si="4"/>
        <v>0</v>
      </c>
      <c r="K28" s="471"/>
      <c r="L28" s="697" t="str">
        <f t="shared" si="5"/>
        <v/>
      </c>
      <c r="M28" s="719"/>
      <c r="N28" s="720"/>
      <c r="O28" s="720"/>
      <c r="P28" s="720"/>
      <c r="Q28" s="720"/>
      <c r="R28" s="720"/>
      <c r="S28" s="720"/>
      <c r="T28" s="721"/>
      <c r="U28" s="71"/>
      <c r="V28" s="464"/>
      <c r="W28" s="476"/>
      <c r="X28" s="522"/>
      <c r="Y28" s="522"/>
      <c r="Z28" s="522"/>
      <c r="AA28" s="522"/>
      <c r="AB28" s="522"/>
    </row>
    <row r="29" spans="1:28" ht="45" x14ac:dyDescent="0.25">
      <c r="A29" s="646" t="s">
        <v>445</v>
      </c>
      <c r="B29" s="7">
        <f>IF(  AND(ISNUMBER(C29),OR(ISNUMBER(D29),D29="PG")),IF(IF(Capa!$B$6="B",0,Capa!$B$6)&gt;=C29,1,0),"")</f>
        <v>0</v>
      </c>
      <c r="C29" s="17">
        <f t="shared" si="1"/>
        <v>1</v>
      </c>
      <c r="D29" s="647">
        <v>270</v>
      </c>
      <c r="E29" s="352" t="s">
        <v>450</v>
      </c>
      <c r="F29" s="513"/>
      <c r="G29" s="468"/>
      <c r="H29" s="241"/>
      <c r="I29" s="29"/>
      <c r="J29" s="425">
        <f t="shared" si="4"/>
        <v>0</v>
      </c>
      <c r="K29" s="471"/>
      <c r="L29" s="697" t="str">
        <f t="shared" si="5"/>
        <v/>
      </c>
      <c r="M29" s="719"/>
      <c r="N29" s="720"/>
      <c r="O29" s="720"/>
      <c r="P29" s="720"/>
      <c r="Q29" s="720"/>
      <c r="R29" s="720"/>
      <c r="S29" s="720"/>
      <c r="T29" s="721"/>
      <c r="U29" s="71"/>
      <c r="V29" s="464"/>
      <c r="W29" s="476"/>
      <c r="X29" s="522"/>
      <c r="Y29" s="522"/>
      <c r="Z29" s="522"/>
      <c r="AA29" s="522"/>
      <c r="AB29" s="522"/>
    </row>
    <row r="30" spans="1:28" ht="6.6" customHeight="1" x14ac:dyDescent="0.25">
      <c r="A30" s="646" t="s">
        <v>445</v>
      </c>
      <c r="B30" s="7" t="str">
        <f>IF(  AND(ISNUMBER(C30),OR(ISNUMBER(D30),D30="PG")),IF(IF(Capa!$B$6="B",0,Capa!$B$6)&gt;=C30,1,0),"")</f>
        <v/>
      </c>
      <c r="C30" s="17">
        <f t="shared" si="1"/>
        <v>2</v>
      </c>
      <c r="D30" s="647" t="s">
        <v>64</v>
      </c>
      <c r="E30" s="352"/>
      <c r="F30" s="513"/>
      <c r="G30" s="468"/>
      <c r="H30" s="241"/>
      <c r="I30" s="29"/>
      <c r="J30" s="425">
        <f t="shared" si="4"/>
        <v>0</v>
      </c>
      <c r="K30" s="471"/>
      <c r="L30" s="697" t="str">
        <f t="shared" si="5"/>
        <v/>
      </c>
      <c r="M30" s="719"/>
      <c r="N30" s="720"/>
      <c r="O30" s="720"/>
      <c r="P30" s="720"/>
      <c r="Q30" s="720"/>
      <c r="R30" s="720"/>
      <c r="S30" s="720"/>
      <c r="T30" s="721"/>
      <c r="U30" s="71"/>
      <c r="V30" s="464"/>
      <c r="W30" s="476"/>
      <c r="X30" s="522"/>
      <c r="Y30" s="522"/>
      <c r="Z30" s="522"/>
      <c r="AA30" s="522"/>
      <c r="AB30" s="522"/>
    </row>
    <row r="31" spans="1:28" ht="60" x14ac:dyDescent="0.25">
      <c r="A31" s="646" t="s">
        <v>445</v>
      </c>
      <c r="B31" s="7">
        <f>IF(  AND(ISNUMBER(C31),OR(ISNUMBER(D31),D31="PG")),IF(IF(Capa!$B$6="B",0,Capa!$B$6)&gt;=C31,1,0),"")</f>
        <v>0</v>
      </c>
      <c r="C31" s="17">
        <f t="shared" si="1"/>
        <v>2</v>
      </c>
      <c r="D31" s="647">
        <v>271</v>
      </c>
      <c r="E31" s="352" t="s">
        <v>451</v>
      </c>
      <c r="F31" s="513"/>
      <c r="G31" s="468"/>
      <c r="H31" s="241"/>
      <c r="I31" s="29"/>
      <c r="J31" s="425">
        <f t="shared" si="4"/>
        <v>0</v>
      </c>
      <c r="K31" s="471"/>
      <c r="L31" s="697" t="str">
        <f t="shared" si="5"/>
        <v/>
      </c>
      <c r="M31" s="719"/>
      <c r="N31" s="720"/>
      <c r="O31" s="720"/>
      <c r="P31" s="720"/>
      <c r="Q31" s="720"/>
      <c r="R31" s="720"/>
      <c r="S31" s="720"/>
      <c r="T31" s="721"/>
      <c r="U31" s="71"/>
      <c r="V31" s="464"/>
      <c r="W31" s="476"/>
      <c r="X31" s="522"/>
      <c r="Y31" s="522"/>
      <c r="Z31" s="522"/>
      <c r="AA31" s="522"/>
      <c r="AB31" s="522"/>
    </row>
    <row r="32" spans="1:28" ht="47.45" customHeight="1" x14ac:dyDescent="0.25">
      <c r="A32" s="646" t="s">
        <v>445</v>
      </c>
      <c r="B32" s="7">
        <f>IF(  AND(ISNUMBER(C32),OR(ISNUMBER(D32),D32="PG")),IF(IF(Capa!$B$6="B",0,Capa!$B$6)&gt;=C32,1,0),"")</f>
        <v>0</v>
      </c>
      <c r="C32" s="17">
        <f t="shared" si="1"/>
        <v>2</v>
      </c>
      <c r="D32" s="647">
        <v>272</v>
      </c>
      <c r="E32" s="352" t="s">
        <v>452</v>
      </c>
      <c r="F32" s="513"/>
      <c r="G32" s="468"/>
      <c r="H32" s="241"/>
      <c r="I32" s="29"/>
      <c r="J32" s="425">
        <f t="shared" si="4"/>
        <v>0</v>
      </c>
      <c r="K32" s="471"/>
      <c r="L32" s="697" t="str">
        <f t="shared" si="5"/>
        <v/>
      </c>
      <c r="M32" s="719"/>
      <c r="N32" s="720"/>
      <c r="O32" s="720"/>
      <c r="P32" s="720"/>
      <c r="Q32" s="720"/>
      <c r="R32" s="720"/>
      <c r="S32" s="720"/>
      <c r="T32" s="721"/>
      <c r="U32" s="71"/>
      <c r="V32" s="464"/>
      <c r="W32" s="476"/>
      <c r="X32" s="522"/>
      <c r="Y32" s="522"/>
      <c r="Z32" s="522"/>
      <c r="AA32" s="522"/>
      <c r="AB32" s="522"/>
    </row>
    <row r="33" spans="1:28" ht="45" x14ac:dyDescent="0.25">
      <c r="A33" s="646" t="s">
        <v>445</v>
      </c>
      <c r="B33" s="7">
        <f>IF(  AND(ISNUMBER(C33),OR(ISNUMBER(D33),D33="PG")),IF(IF(Capa!$B$6="B",0,Capa!$B$6)&gt;=C33,1,0),"")</f>
        <v>0</v>
      </c>
      <c r="C33" s="17">
        <f t="shared" si="1"/>
        <v>2</v>
      </c>
      <c r="D33" s="647">
        <v>273</v>
      </c>
      <c r="E33" s="352" t="s">
        <v>453</v>
      </c>
      <c r="F33" s="513"/>
      <c r="G33" s="468"/>
      <c r="H33" s="241"/>
      <c r="I33" s="29"/>
      <c r="J33" s="425">
        <f t="shared" si="4"/>
        <v>0</v>
      </c>
      <c r="K33" s="471"/>
      <c r="L33" s="697" t="str">
        <f t="shared" si="5"/>
        <v/>
      </c>
      <c r="M33" s="719"/>
      <c r="N33" s="720"/>
      <c r="O33" s="720"/>
      <c r="P33" s="720"/>
      <c r="Q33" s="720"/>
      <c r="R33" s="720"/>
      <c r="S33" s="720"/>
      <c r="T33" s="721"/>
      <c r="U33" s="71"/>
      <c r="V33" s="464"/>
      <c r="W33" s="476"/>
      <c r="X33" s="522"/>
      <c r="Y33" s="522"/>
      <c r="Z33" s="522"/>
      <c r="AA33" s="522"/>
      <c r="AB33" s="522"/>
    </row>
    <row r="34" spans="1:28" ht="67.900000000000006" customHeight="1" x14ac:dyDescent="0.25">
      <c r="A34" s="646" t="s">
        <v>445</v>
      </c>
      <c r="B34" s="7">
        <f>IF(  AND(ISNUMBER(C34),OR(ISNUMBER(D34),D34="PG")),IF(IF(Capa!$B$6="B",0,Capa!$B$6)&gt;=C34,1,0),"")</f>
        <v>0</v>
      </c>
      <c r="C34" s="17">
        <f t="shared" si="1"/>
        <v>2</v>
      </c>
      <c r="D34" s="647">
        <v>274</v>
      </c>
      <c r="E34" s="352" t="s">
        <v>454</v>
      </c>
      <c r="F34" s="513"/>
      <c r="G34" s="468"/>
      <c r="H34" s="241"/>
      <c r="I34" s="29"/>
      <c r="J34" s="425">
        <f t="shared" si="4"/>
        <v>0</v>
      </c>
      <c r="K34" s="471"/>
      <c r="L34" s="697" t="str">
        <f t="shared" si="5"/>
        <v/>
      </c>
      <c r="M34" s="719"/>
      <c r="N34" s="720"/>
      <c r="O34" s="720"/>
      <c r="P34" s="720"/>
      <c r="Q34" s="720"/>
      <c r="R34" s="720"/>
      <c r="S34" s="720"/>
      <c r="T34" s="721"/>
      <c r="U34" s="71"/>
      <c r="V34" s="464"/>
      <c r="W34" s="476"/>
      <c r="X34" s="522"/>
      <c r="Y34" s="522"/>
      <c r="Z34" s="522"/>
      <c r="AA34" s="522"/>
      <c r="AB34" s="522"/>
    </row>
    <row r="35" spans="1:28" ht="7.35" customHeight="1" x14ac:dyDescent="0.25">
      <c r="A35" s="646" t="s">
        <v>445</v>
      </c>
      <c r="B35" s="7" t="str">
        <f>IF(  AND(ISNUMBER(C35),OR(ISNUMBER(D35),D35="PG")),IF(IF(Capa!$B$6="B",0,Capa!$B$6)&gt;=C35,1,0),"")</f>
        <v/>
      </c>
      <c r="C35" s="17">
        <f t="shared" si="1"/>
        <v>3</v>
      </c>
      <c r="D35" s="647" t="s">
        <v>70</v>
      </c>
      <c r="E35" s="352"/>
      <c r="F35" s="513"/>
      <c r="G35" s="468"/>
      <c r="H35" s="241"/>
      <c r="I35" s="29"/>
      <c r="J35" s="425">
        <f t="shared" si="4"/>
        <v>0</v>
      </c>
      <c r="K35" s="471"/>
      <c r="L35" s="697" t="str">
        <f t="shared" si="5"/>
        <v/>
      </c>
      <c r="M35" s="719"/>
      <c r="N35" s="720"/>
      <c r="O35" s="720"/>
      <c r="P35" s="720"/>
      <c r="Q35" s="720"/>
      <c r="R35" s="720"/>
      <c r="S35" s="720"/>
      <c r="T35" s="721"/>
      <c r="U35" s="71"/>
      <c r="V35" s="464"/>
      <c r="W35" s="476"/>
      <c r="X35" s="522"/>
      <c r="Y35" s="522"/>
      <c r="Z35" s="522"/>
      <c r="AA35" s="522"/>
      <c r="AB35" s="522"/>
    </row>
    <row r="36" spans="1:28" ht="45" x14ac:dyDescent="0.25">
      <c r="A36" s="646" t="s">
        <v>445</v>
      </c>
      <c r="B36" s="7">
        <f>IF(  AND(ISNUMBER(C36),OR(ISNUMBER(D36),D36="PG")),IF(IF(Capa!$B$6="B",0,Capa!$B$6)&gt;=C36,1,0),"")</f>
        <v>0</v>
      </c>
      <c r="C36" s="17">
        <f t="shared" si="1"/>
        <v>3</v>
      </c>
      <c r="D36" s="647">
        <v>275</v>
      </c>
      <c r="E36" s="352" t="s">
        <v>455</v>
      </c>
      <c r="F36" s="513"/>
      <c r="G36" s="468"/>
      <c r="H36" s="241"/>
      <c r="I36" s="29"/>
      <c r="J36" s="425">
        <f t="shared" si="4"/>
        <v>0</v>
      </c>
      <c r="K36" s="471"/>
      <c r="L36" s="697" t="str">
        <f t="shared" si="5"/>
        <v/>
      </c>
      <c r="M36" s="719"/>
      <c r="N36" s="720"/>
      <c r="O36" s="720"/>
      <c r="P36" s="720"/>
      <c r="Q36" s="720"/>
      <c r="R36" s="720"/>
      <c r="S36" s="720"/>
      <c r="T36" s="721"/>
      <c r="U36" s="71"/>
      <c r="V36" s="464"/>
      <c r="W36" s="476"/>
      <c r="X36" s="522"/>
      <c r="Y36" s="522"/>
      <c r="Z36" s="522"/>
      <c r="AA36" s="522"/>
      <c r="AB36" s="522"/>
    </row>
    <row r="37" spans="1:28" ht="45" x14ac:dyDescent="0.25">
      <c r="A37" s="646" t="s">
        <v>445</v>
      </c>
      <c r="B37" s="7">
        <f>IF(  AND(ISNUMBER(C37),OR(ISNUMBER(D37),D37="PG")),IF(IF(Capa!$B$6="B",0,Capa!$B$6)&gt;=C37,1,0),"")</f>
        <v>0</v>
      </c>
      <c r="C37" s="17">
        <f t="shared" si="1"/>
        <v>3</v>
      </c>
      <c r="D37" s="647">
        <v>276</v>
      </c>
      <c r="E37" s="352" t="s">
        <v>456</v>
      </c>
      <c r="F37" s="513"/>
      <c r="G37" s="468"/>
      <c r="H37" s="241"/>
      <c r="I37" s="29"/>
      <c r="J37" s="425">
        <f t="shared" si="4"/>
        <v>0</v>
      </c>
      <c r="K37" s="471"/>
      <c r="L37" s="697" t="str">
        <f t="shared" si="5"/>
        <v/>
      </c>
      <c r="M37" s="719"/>
      <c r="N37" s="720"/>
      <c r="O37" s="720"/>
      <c r="P37" s="720"/>
      <c r="Q37" s="720"/>
      <c r="R37" s="720"/>
      <c r="S37" s="720"/>
      <c r="T37" s="721"/>
      <c r="U37" s="71"/>
      <c r="V37" s="464"/>
      <c r="W37" s="476"/>
      <c r="X37" s="522"/>
      <c r="Y37" s="522"/>
      <c r="Z37" s="522"/>
      <c r="AA37" s="522"/>
      <c r="AB37" s="522"/>
    </row>
    <row r="38" spans="1:28" ht="45" x14ac:dyDescent="0.25">
      <c r="A38" s="646" t="s">
        <v>445</v>
      </c>
      <c r="B38" s="7">
        <f>IF(  AND(ISNUMBER(C38),OR(ISNUMBER(D38),D38="PG")),IF(IF(Capa!$B$6="B",0,Capa!$B$6)&gt;=C38,1,0),"")</f>
        <v>0</v>
      </c>
      <c r="C38" s="17">
        <f t="shared" si="1"/>
        <v>3</v>
      </c>
      <c r="D38" s="647">
        <v>277</v>
      </c>
      <c r="E38" s="352" t="s">
        <v>457</v>
      </c>
      <c r="F38" s="513"/>
      <c r="G38" s="468"/>
      <c r="H38" s="241"/>
      <c r="I38" s="29"/>
      <c r="J38" s="425">
        <f t="shared" si="4"/>
        <v>0</v>
      </c>
      <c r="K38" s="471"/>
      <c r="L38" s="697" t="str">
        <f t="shared" si="5"/>
        <v/>
      </c>
      <c r="M38" s="719"/>
      <c r="N38" s="720"/>
      <c r="O38" s="720"/>
      <c r="P38" s="720"/>
      <c r="Q38" s="720"/>
      <c r="R38" s="720"/>
      <c r="S38" s="720"/>
      <c r="T38" s="721"/>
      <c r="U38" s="71"/>
      <c r="V38" s="464"/>
      <c r="W38" s="476"/>
      <c r="X38" s="522"/>
      <c r="Y38" s="522"/>
      <c r="Z38" s="522"/>
      <c r="AA38" s="522"/>
      <c r="AB38" s="522"/>
    </row>
    <row r="39" spans="1:28" ht="75" x14ac:dyDescent="0.25">
      <c r="A39" s="646" t="s">
        <v>445</v>
      </c>
      <c r="B39" s="7">
        <f>IF(  AND(ISNUMBER(C39),OR(ISNUMBER(D39),D39="PG")),IF(IF(Capa!$B$6="B",0,Capa!$B$6)&gt;=C39,1,0),"")</f>
        <v>0</v>
      </c>
      <c r="C39" s="17">
        <f t="shared" si="1"/>
        <v>3</v>
      </c>
      <c r="D39" s="647">
        <v>278</v>
      </c>
      <c r="E39" s="352" t="s">
        <v>458</v>
      </c>
      <c r="F39" s="513"/>
      <c r="G39" s="468"/>
      <c r="H39" s="241"/>
      <c r="I39" s="29"/>
      <c r="J39" s="425">
        <f t="shared" si="4"/>
        <v>0</v>
      </c>
      <c r="K39" s="471"/>
      <c r="L39" s="697" t="str">
        <f t="shared" si="5"/>
        <v/>
      </c>
      <c r="M39" s="719"/>
      <c r="N39" s="720"/>
      <c r="O39" s="720"/>
      <c r="P39" s="720"/>
      <c r="Q39" s="720"/>
      <c r="R39" s="720"/>
      <c r="S39" s="720"/>
      <c r="T39" s="721"/>
      <c r="U39" s="71"/>
      <c r="V39" s="464"/>
      <c r="W39" s="476"/>
      <c r="X39" s="522"/>
      <c r="Y39" s="522"/>
      <c r="Z39" s="522"/>
      <c r="AA39" s="522"/>
      <c r="AB39" s="522"/>
    </row>
    <row r="40" spans="1:28" ht="30" x14ac:dyDescent="0.25">
      <c r="A40" s="646" t="s">
        <v>445</v>
      </c>
      <c r="B40" s="7">
        <f>IF(  AND(ISNUMBER(C40),OR(ISNUMBER(D40),D40="PG")),IF(IF(Capa!$B$6="B",0,Capa!$B$6)&gt;=C40,1,0),"")</f>
        <v>0</v>
      </c>
      <c r="C40" s="17">
        <f t="shared" si="1"/>
        <v>3</v>
      </c>
      <c r="D40" s="649">
        <v>279</v>
      </c>
      <c r="E40" s="412" t="s">
        <v>459</v>
      </c>
      <c r="F40" s="513"/>
      <c r="G40" s="468"/>
      <c r="H40" s="241"/>
      <c r="I40" s="29"/>
      <c r="J40" s="425">
        <f t="shared" si="4"/>
        <v>0</v>
      </c>
      <c r="K40" s="471"/>
      <c r="L40" s="697" t="str">
        <f t="shared" si="5"/>
        <v/>
      </c>
      <c r="M40" s="719"/>
      <c r="N40" s="720"/>
      <c r="O40" s="720"/>
      <c r="P40" s="720"/>
      <c r="Q40" s="720"/>
      <c r="R40" s="720"/>
      <c r="S40" s="720"/>
      <c r="T40" s="721"/>
      <c r="U40" s="71"/>
      <c r="V40" s="464"/>
      <c r="W40" s="477"/>
      <c r="X40" s="522"/>
      <c r="Y40" s="522"/>
      <c r="Z40" s="522"/>
      <c r="AA40" s="522"/>
      <c r="AB40" s="522"/>
    </row>
    <row r="41" spans="1:28" ht="9" customHeight="1" x14ac:dyDescent="0.25">
      <c r="B41" s="7" t="str">
        <f>IF(  AND(ISNUMBER(C41),OR(ISNUMBER(D41),D41="PG")),IF(IF(Capa!$B$6="B",0,Capa!$B$6)&gt;=C41,1,0),"")</f>
        <v/>
      </c>
      <c r="C41" s="17" t="str">
        <f t="shared" si="1"/>
        <v/>
      </c>
      <c r="D41" s="122"/>
      <c r="E41" s="291"/>
      <c r="F41" s="123"/>
      <c r="G41" s="227"/>
      <c r="H41" s="227"/>
      <c r="I41" s="123"/>
      <c r="J41" s="227"/>
      <c r="K41" s="694"/>
      <c r="L41" s="227"/>
      <c r="M41" s="124"/>
      <c r="N41" s="124"/>
      <c r="O41" s="124"/>
      <c r="P41" s="124"/>
      <c r="Q41" s="124"/>
      <c r="R41" s="124"/>
      <c r="S41" s="251"/>
      <c r="T41" s="251"/>
      <c r="U41" s="260"/>
      <c r="V41" s="543"/>
      <c r="W41" s="125"/>
      <c r="X41" s="522"/>
      <c r="Y41" s="522"/>
      <c r="Z41" s="522"/>
      <c r="AA41" s="522"/>
      <c r="AB41" s="522"/>
    </row>
    <row r="42" spans="1:28" ht="20.100000000000001" customHeight="1" x14ac:dyDescent="0.25">
      <c r="A42" s="210" t="s">
        <v>460</v>
      </c>
      <c r="B42" s="7" t="str">
        <f>IF(  AND(ISNUMBER(C42),OR(ISNUMBER(D42),D42="PG")),IF(IF(Capa!$B$6="B",0,Capa!$B$6)&gt;=C42,1,0),"")</f>
        <v/>
      </c>
      <c r="C42" s="17" t="str">
        <f t="shared" si="1"/>
        <v/>
      </c>
      <c r="D42" s="15"/>
      <c r="E42" s="395" t="s">
        <v>461</v>
      </c>
      <c r="F42" s="381">
        <f>IF(COUNTIFS($A$1:$A$235,"="&amp;A42&amp;"?",$B$1:$B$235,"&gt;0",$D$1:$D$235,"&gt;0")&gt;0,(COUNTIFS($A$1:$A$235,"="&amp;A42&amp;"?",$B$1:$B$235,"&gt;0",$D$1:$D$235,"&gt;0",F$1:F$235,"=S")+COUNTIFS($A$1:$A$235,"="&amp;A42&amp;"?",$B$1:$B$235,"&gt;0",$D$1:$D$235,"&gt;0",$F$1:$F$235,"=P")+COUNTIFS($A$1:$A$235,"="&amp;A42&amp;"?",$B$1:$B$235,"&gt;0",$D$1:$D$235,"&gt;0",F$1:F$235,"=N")+COUNTIFS($A$1:$A$235,"="&amp;A42&amp;"?",$B$1:$B$235,"&gt;0",$D$1:$D$235,"&gt;0",F$1:F$235,"=NA"))/COUNTIFS($A$1:$A$235,"="&amp;A42&amp;"?",$B$1:$B$235,"&gt;0",$D$1:$D$235,"&gt;0"),0)</f>
        <v>0</v>
      </c>
      <c r="G42" s="534"/>
      <c r="H42" s="232"/>
      <c r="I42" s="381">
        <f>IF(COUNTIFS($A$1:$A$235,"="&amp;A42&amp;"?",$B$1:$B$235,"&gt;0",$D$1:$D$235,"&gt;0")&gt;0,
        (COUNTIFS($A$1:$A$235,"="&amp;A42&amp;"?",$B$1:$B$235,"&gt;0",$D$1:$D$235,"&gt;0",F$1:F$235,"=S",I$1:I$235,"") +
         (COUNTIFS($A$1:$A$235,"="&amp;A42&amp;"?",$B$1:$B$235,"&gt;0",$D$1:$D$235,"&gt;0",$F$1:$F$235,"=P",I$1:I$235,"")/2) +
         COUNTIFS($A$1:$A$235,"="&amp;A42&amp;"?",$B$1:$B$235,"&gt;0",$D$1:$D$235,"&gt;0",I$1:I$235,"=S") +
         (COUNTIFS($A$1:$A$235,"="&amp;A42&amp;"?",$B$1:$B$235,"&gt;0",$D$1:$D$235,"&gt;0",I$1:I$235,"=P")/2)
         )/COUNTIFS($A$1:$A$235,"="&amp;A42&amp;"?",$B$1:$B$235,"&gt;0",$D$1:$D$235,"&gt;0"),0)</f>
        <v>0</v>
      </c>
      <c r="J42" s="219"/>
      <c r="K42" s="528"/>
      <c r="L42" s="219"/>
      <c r="M42" s="722">
        <f>(M43*20+N43*10+O43*10+Q43*30+R43*15+S43*15)/100</f>
        <v>0</v>
      </c>
      <c r="N42" s="723"/>
      <c r="O42" s="723"/>
      <c r="P42" s="723"/>
      <c r="Q42" s="723"/>
      <c r="R42" s="723"/>
      <c r="S42" s="723"/>
      <c r="T42" s="724"/>
      <c r="U42" s="450"/>
      <c r="V42" s="537"/>
      <c r="W42" s="66"/>
      <c r="X42" s="579"/>
      <c r="Y42" s="579"/>
      <c r="Z42" s="579"/>
      <c r="AA42" s="579"/>
      <c r="AB42" s="579"/>
    </row>
    <row r="43" spans="1:28" ht="15.6" customHeight="1" x14ac:dyDescent="0.25">
      <c r="A43" s="210" t="s">
        <v>460</v>
      </c>
      <c r="B43" s="7" t="str">
        <f>IF(  AND(ISNUMBER(C43),OR(ISNUMBER(D43),D43="PG")),IF(IF(Capa!$B$6="B",0,Capa!$B$6)&gt;=C43,1,0),"")</f>
        <v/>
      </c>
      <c r="C43" s="17" t="str">
        <f t="shared" si="1"/>
        <v/>
      </c>
      <c r="D43" s="135"/>
      <c r="E43" s="393">
        <f>IF(SUMIFS($B$1:$B$235,$A$1:$A$235,"="&amp;A42&amp;"?",B$1:B$235,"&gt;0")&lt;=0,0,COUNTIFS($F$1:$F$235,"*",$A$1:$A$235,"="&amp;A42&amp;"?",B$1:B$235,"&gt;0")/SUMIFS($B$1:$B$235,$A$1:$A$235,"="&amp;A42&amp;"?",B$1:B$235,"&gt;0"))</f>
        <v>0</v>
      </c>
      <c r="F43" s="553"/>
      <c r="G43" s="571"/>
      <c r="H43" s="253"/>
      <c r="I43" s="36"/>
      <c r="J43" s="253"/>
      <c r="K43" s="568"/>
      <c r="L43" s="255"/>
      <c r="M43" s="100">
        <f>(COUNTIFS($A$1:$A$235,"="&amp;$A42&amp;"?",$B$1:$B$235,"&gt;0",$D$1:$D$235,"=PG",M$1:M$235,"=1")*(IF(Capa!$B$6="B",100,IF(Capa!$B$6=1,50,IF(Capa!$B$6=2,33,25))))+COUNTIFS($A$1:$A$235,"="&amp;$A42&amp;"?",$B$1:$B$235,"&gt;0",$D$1:$D$235,"=PG",M$1:M$235,"=2")*(IF(Capa!$B$6="B",100,IF(Capa!$B$6=1,100,IF(Capa!$B$6=2,67,50))))+COUNTIFS($A$1:$A$235,"="&amp;$A42&amp;"?",$B$1:$B$235,"&gt;0",$D$1:$D$235,"=PG",M$1:M$235,"=3")*(IF(Capa!$B$6="B",100,IF(Capa!$B$6=1,100,IF(Capa!$B$6=2,100,75))))+COUNTIFS($A$1:$A$235,"="&amp;$A42&amp;"?",$B$1:$B$235,"&gt;0",$D$1:$D$235,"=PG",M$1:M$235,"=4")*100)/(COUNTIFS($A$1:$A$235,"="&amp;$A42&amp;"?",$B$1:$B$235,"&gt;0",$D$1:$D$235,"=PG")*100)</f>
        <v>0</v>
      </c>
      <c r="N43" s="100">
        <f>(COUNTIFS($A$1:$A$235,"="&amp;$A42&amp;"?",$B$1:$B$235,"&gt;0",$D$1:$D$235,"=PG",N$1:N$235,"=1")*(IF(Capa!$B$6="B",100,IF(Capa!$B$6=1,50,IF(Capa!$B$6=2,33,25))))+COUNTIFS($A$1:$A$235,"="&amp;$A42&amp;"?",$B$1:$B$235,"&gt;0",$D$1:$D$235,"=PG",N$1:N$235,"=2")*(IF(Capa!$B$6="B",100,IF(Capa!$B$6=1,100,IF(Capa!$B$6=2,67,50))))+COUNTIFS($A$1:$A$235,"="&amp;$A42&amp;"?",$B$1:$B$235,"&gt;0",$D$1:$D$235,"=PG",N$1:N$235,"=3")*(IF(Capa!$B$6="B",100,IF(Capa!$B$6=1,100,IF(Capa!$B$6=2,100,75))))+COUNTIFS($A$1:$A$235,"="&amp;$A42&amp;"?",$B$1:$B$235,"&gt;0",$D$1:$D$235,"=PG",N$1:N$235,"=4")*100)/(COUNTIFS($A$1:$A$235,"="&amp;$A42&amp;"?",$B$1:$B$235,"&gt;0",$D$1:$D$235,"=PG")*100)</f>
        <v>0</v>
      </c>
      <c r="O43" s="100">
        <f>(COUNTIFS($A$1:$A$235,"="&amp;$A42&amp;"?",$B$1:$B$235,"&gt;0",$D$1:$D$235,"=PG",O$1:O$235,"=1")*(IF(Capa!$B$6="B",100,IF(Capa!$B$6=1,50,IF(Capa!$B$6=2,33,25))))+COUNTIFS($A$1:$A$235,"="&amp;$A42&amp;"?",$B$1:$B$235,"&gt;0",$D$1:$D$235,"=PG",O$1:O$235,"=2")*(IF(Capa!$B$6="B",100,IF(Capa!$B$6=1,100,IF(Capa!$B$6=2,67,50))))+COUNTIFS($A$1:$A$235,"="&amp;$A42&amp;"?",$B$1:$B$235,"&gt;0",$D$1:$D$235,"=PG",O$1:O$235,"=3")*(IF(Capa!$B$6="B",100,IF(Capa!$B$6=1,100,IF(Capa!$B$6=2,100,75))))+COUNTIFS($A$1:$A$235,"="&amp;$A42&amp;"?",$B$1:$B$235,"&gt;0",$D$1:$D$235,"=PG",O$1:O$235,"=4")*100)/(COUNTIFS($A$1:$A$235,"="&amp;$A42&amp;"?",$B$1:$B$235,"&gt;0",$D$1:$D$235,"=PG")*100)</f>
        <v>0</v>
      </c>
      <c r="P43" s="414">
        <f>P46+P64</f>
        <v>0</v>
      </c>
      <c r="Q43" s="100">
        <f>(COUNTIFS($A$1:$A$235,"="&amp;$A42&amp;"?",$B$1:$B$235,"",$L$1:$L$235,"&gt;=0",Q$1:Q$235,"=1")*(IF(Capa!$B$6="B",100,IF(Capa!$B$6=1,50,IF(Capa!$B$6=2,33,25))))+COUNTIFS($A$1:$A$235,"="&amp;$A42&amp;"?",$B$1:$B$235,"",$L$1:$L$235,"&gt;=0",Q$1:Q$235,"=2")*(IF(Capa!$B$6="B",100,IF(Capa!$B$6=1,100,IF(Capa!$B$6=2,67,50))))+COUNTIFS($A$1:$A$235,"="&amp;$A42&amp;"?",$B$1:$B$235,"",$L$1:$L$235,"&gt;=0",Q$1:Q$235,"=3")*(IF(Capa!$B$6="B",100,IF(Capa!$B$6=1,100,IF(Capa!$B$6=2,100,75))))+COUNTIFS($A$1:$A$235,"="&amp;$A42&amp;"?",$B$1:$B$235,"",$L$1:$L$235,"&gt;=0",Q$1:Q$235,"=4")*100)/(COUNTIFS($A$1:$A$235,"="&amp;$A42&amp;"?",$B$1:$B$235,"",$L$1:$L$235,"&gt;=0")*100)</f>
        <v>0</v>
      </c>
      <c r="R43" s="100">
        <f>(COUNTIFS($A$1:$A$235,"="&amp;$A42&amp;"?",$B$1:$B$235,"&gt;0",$D$1:$D$235,"=PG",R$1:R$235,"=1")*(IF(Capa!$B$6="B",100,IF(Capa!$B$6=1,50,IF(Capa!$B$6=2,33,25))))+COUNTIFS($A$1:$A$235,"="&amp;$A42&amp;"?",$B$1:$B$235,"&gt;0",$D$1:$D$235,"=PG",R$1:R$235,"=2")*(IF(Capa!$B$6="B",100,IF(Capa!$B$6=1,100,IF(Capa!$B$6=2,67,50))))+COUNTIFS($A$1:$A$235,"="&amp;$A42&amp;"?",$B$1:$B$235,"&gt;0",$D$1:$D$235,"=PG",R$1:R$235,"=3")*(IF(Capa!$B$6="B",100,IF(Capa!$B$6=1,100,IF(Capa!$B$6=2,100,75))))+COUNTIFS($A$1:$A$235,"="&amp;$A42&amp;"?",$B$1:$B$235,"&gt;0",$D$1:$D$235,"=PG",R$1:R$235,"=4")*100)/(COUNTIFS($A$1:$A$235,"="&amp;$A42&amp;"?",$B$1:$B$235,"&gt;0",$D$1:$D$235,"=PG")*100)</f>
        <v>0</v>
      </c>
      <c r="S43" s="100">
        <f>(COUNTIFS($A$1:$A$235,"="&amp;$A42&amp;"?",$B$1:$B$235,"&gt;0",$D$1:$D$235,"=PG",S$1:S$235,"=1")*(IF(Capa!$B$6="B",100,IF(Capa!$B$6=1,50,IF(Capa!$B$6=2,33,25))))+COUNTIFS($A$1:$A$235,"="&amp;$A42&amp;"?",$B$1:$B$235,"&gt;0",$D$1:$D$235,"=PG",S$1:S$235,"=2")*(IF(Capa!$B$6="B",100,IF(Capa!$B$6=1,100,IF(Capa!$B$6=2,67,50))))+COUNTIFS($A$1:$A$235,"="&amp;$A42&amp;"?",$B$1:$B$235,"&gt;0",$D$1:$D$235,"=PG",S$1:S$235,"=3")*(IF(Capa!$B$6="B",100,IF(Capa!$B$6=1,100,IF(Capa!$B$6=2,100,75))))+COUNTIFS($A$1:$A$235,"="&amp;$A42&amp;"?",$B$1:$B$235,"&gt;0",$D$1:$D$235,"=PG",S$1:S$235,"=4")*100)/(COUNTIFS($A$1:$A$235,"="&amp;$A42&amp;"?",$B$1:$B$235,"&gt;0",$D$1:$D$235,"=PG")*100)</f>
        <v>0</v>
      </c>
      <c r="T43" s="414">
        <f>T46+T64</f>
        <v>0</v>
      </c>
      <c r="U43" s="100"/>
      <c r="V43" s="538"/>
      <c r="W43" s="478"/>
      <c r="X43" s="522"/>
      <c r="Y43" s="522"/>
      <c r="Z43" s="522"/>
      <c r="AA43" s="522"/>
      <c r="AB43" s="522"/>
    </row>
    <row r="44" spans="1:28" x14ac:dyDescent="0.25">
      <c r="A44" s="210" t="s">
        <v>462</v>
      </c>
      <c r="B44" s="7" t="str">
        <f>IF(  AND(ISNUMBER(C44),OR(ISNUMBER(D44),D44="PG")),IF(IF(Capa!$B$6="B",0,Capa!$B$6)&gt;=C44,1,0),"")</f>
        <v/>
      </c>
      <c r="C44" s="17" t="str">
        <f t="shared" si="1"/>
        <v/>
      </c>
      <c r="D44" s="15"/>
      <c r="E44" s="395" t="s">
        <v>463</v>
      </c>
      <c r="F44" s="517"/>
      <c r="G44" s="532"/>
      <c r="H44" s="219"/>
      <c r="I44" s="23"/>
      <c r="J44" s="219"/>
      <c r="K44" s="528"/>
      <c r="L44" s="383">
        <f>IF(AND($B46=1,D46="PG"),IF(COUNTIFS($A$1:$A$235,"="&amp;$A44,$B$1:$B$235,"&gt;0",$D$1:$D$235,"&gt;0")&gt;0,
        (COUNTIFS($A$1:$A$235,"="&amp;$A44,$B$1:$B$235,"&gt;0",$D$1:$D$235,"&gt;0",F$1:F$235,"=S",I$1:I$235,"") +
         (COUNTIFS($A$1:$A$235,"="&amp;$A44,$B$1:$B$235,"&gt;0",$D$1:$D$235,"&gt;0",$F$1:$F$235,"=P",I$1:I$235,"")/2) +
         COUNTIFS($A$1:$A$235,"="&amp;$A44,$B$1:$B$235,"&gt;0",$D$1:$D$235,"&gt;0",I$1:I$235,"=S") +
         (COUNTIFS($A$1:$A$235,"="&amp;$A44,$B$1:$B$235,"&gt;0",$D$1:$D$235,"&gt;0",I$1:I$235,"=P")/2)
         )/COUNTIFS($A$1:$A$235,"="&amp;$A44,$B$1:$B$235,"&gt;0",$D$1:$D$235,"&gt;0"),1),"")</f>
        <v>0</v>
      </c>
      <c r="M44" s="380"/>
      <c r="N44" s="70"/>
      <c r="O44" s="68"/>
      <c r="P44" s="68"/>
      <c r="Q44" s="83">
        <f>IF(L44="","",MIN(IF(ISBLANK(Q46),0,Q46),IF(L44&gt;0.9,4,IF(L44&gt;0.5,3,IF(L44&gt;0.3,2,IF(OR(L44&gt;0,Q46&gt;0),1,0))))))</f>
        <v>0</v>
      </c>
      <c r="R44" s="70"/>
      <c r="S44" s="260"/>
      <c r="T44" s="260"/>
      <c r="U44" s="260"/>
      <c r="V44" s="537"/>
      <c r="W44" s="66"/>
      <c r="X44" s="579"/>
      <c r="Y44" s="579"/>
      <c r="Z44" s="579"/>
      <c r="AA44" s="579"/>
      <c r="AB44" s="579"/>
    </row>
    <row r="45" spans="1:28" ht="6.6" customHeight="1" x14ac:dyDescent="0.25">
      <c r="A45" s="210" t="s">
        <v>462</v>
      </c>
      <c r="B45" s="7" t="str">
        <f>IF(  AND(ISNUMBER(C45),OR(ISNUMBER(D45),D45="PG")),IF(IF(Capa!$B$6="B",0,Capa!$B$6)&gt;=C45,1,0),"")</f>
        <v/>
      </c>
      <c r="C45" s="17">
        <f t="shared" si="1"/>
        <v>0</v>
      </c>
      <c r="D45" s="5" t="s">
        <v>53</v>
      </c>
      <c r="E45" s="391"/>
      <c r="F45" s="554"/>
      <c r="G45" s="572"/>
      <c r="H45" s="239"/>
      <c r="I45" s="26"/>
      <c r="J45" s="239"/>
      <c r="K45" s="569"/>
      <c r="L45" s="242"/>
      <c r="M45" s="59"/>
      <c r="N45" s="59"/>
      <c r="O45" s="59"/>
      <c r="P45" s="59"/>
      <c r="Q45" s="59"/>
      <c r="R45" s="59"/>
      <c r="S45" s="262"/>
      <c r="T45" s="262"/>
      <c r="U45" s="355"/>
      <c r="V45" s="538"/>
      <c r="W45" s="478"/>
      <c r="X45" s="522"/>
      <c r="Y45" s="522"/>
      <c r="Z45" s="522"/>
      <c r="AA45" s="522"/>
      <c r="AB45" s="522"/>
    </row>
    <row r="46" spans="1:28" ht="109.7" customHeight="1" x14ac:dyDescent="0.25">
      <c r="A46" s="646" t="s">
        <v>462</v>
      </c>
      <c r="B46" s="7">
        <f>IF(  AND(ISNUMBER(C46),OR(ISNUMBER(D46),D46="PG")),IF(IF(Capa!$B$6="B",0,Capa!$B$6)&gt;=C46,1,0),"")</f>
        <v>1</v>
      </c>
      <c r="C46" s="17">
        <f t="shared" si="1"/>
        <v>0</v>
      </c>
      <c r="D46" s="647" t="s">
        <v>54</v>
      </c>
      <c r="E46" s="389" t="s">
        <v>464</v>
      </c>
      <c r="F46" s="513"/>
      <c r="G46" s="468"/>
      <c r="H46" s="241"/>
      <c r="I46" s="29"/>
      <c r="J46" s="239"/>
      <c r="K46" s="471"/>
      <c r="L46" s="697" t="str">
        <f>IF(OR(AND(NOT(ISBLANK(M46)),M46&lt;IF(Capa!$B$6&lt;&gt;"B",Capa!$B$6+1,1)),AND(NOT(ISBLANK(N46)),N46&lt;IF(Capa!$B$6&lt;&gt;"B",Capa!$B$6+1,1)),AND(NOT(ISBLANK(O46)),O46&lt;IF(Capa!$B$6&lt;&gt;"B",Capa!$B$6+1,1)),AND(NOT(ISBLANK(Q46)),Q46&lt;IF(Capa!$B$6&lt;&gt;"B",Capa!$B$6+1,1)),AND(NOT(ISBLANK(R46)),R46&lt;IF(Capa!$B$6&lt;&gt;"B",Capa!$B$6+1,1)),AND(NOT(ISBLANK(S46)),S46&lt;IF(Capa!$B$6&lt;&gt;"B",Capa!$B$6+1,1))),1,"")</f>
        <v/>
      </c>
      <c r="M46" s="81"/>
      <c r="N46" s="81"/>
      <c r="O46" s="81"/>
      <c r="P46" s="81"/>
      <c r="Q46" s="81"/>
      <c r="R46" s="81"/>
      <c r="S46" s="81"/>
      <c r="T46" s="81"/>
      <c r="U46" s="58"/>
      <c r="V46" s="464"/>
      <c r="W46" s="476"/>
      <c r="X46" s="666"/>
      <c r="Y46" s="522"/>
      <c r="Z46" s="522"/>
      <c r="AA46" s="522"/>
      <c r="AB46" s="522"/>
    </row>
    <row r="47" spans="1:28" ht="30" x14ac:dyDescent="0.25">
      <c r="A47" s="646" t="s">
        <v>462</v>
      </c>
      <c r="B47" s="7">
        <f>IF(  AND(ISNUMBER(C47),OR(ISNUMBER(D47),D47="PG")),IF(IF(Capa!$B$6="B",0,Capa!$B$6)&gt;=C47,1,0),"")</f>
        <v>1</v>
      </c>
      <c r="C47" s="17">
        <f t="shared" si="1"/>
        <v>0</v>
      </c>
      <c r="D47" s="647">
        <v>280</v>
      </c>
      <c r="E47" s="352" t="s">
        <v>465</v>
      </c>
      <c r="F47" s="513"/>
      <c r="G47" s="468"/>
      <c r="H47" s="241"/>
      <c r="I47" s="29"/>
      <c r="J47" s="425">
        <f t="shared" ref="J47:J60" si="6">LEN(K47)</f>
        <v>0</v>
      </c>
      <c r="K47" s="471"/>
      <c r="L47" s="697" t="str">
        <f t="shared" ref="L47:L60" si="7">IF(OR(I47="N",I47="P"),1,"")</f>
        <v/>
      </c>
      <c r="M47" s="719"/>
      <c r="N47" s="720"/>
      <c r="O47" s="720"/>
      <c r="P47" s="720"/>
      <c r="Q47" s="720"/>
      <c r="R47" s="720"/>
      <c r="S47" s="720"/>
      <c r="T47" s="721"/>
      <c r="U47" s="71"/>
      <c r="V47" s="464"/>
      <c r="W47" s="476"/>
      <c r="X47" s="666"/>
      <c r="Y47" s="522"/>
      <c r="Z47" s="522"/>
      <c r="AA47" s="522"/>
      <c r="AB47" s="522"/>
    </row>
    <row r="48" spans="1:28" ht="45" x14ac:dyDescent="0.25">
      <c r="A48" s="646" t="s">
        <v>462</v>
      </c>
      <c r="B48" s="7">
        <f>IF(  AND(ISNUMBER(C48),OR(ISNUMBER(D48),D48="PG")),IF(IF(Capa!$B$6="B",0,Capa!$B$6)&gt;=C48,1,0),"")</f>
        <v>1</v>
      </c>
      <c r="C48" s="17">
        <f t="shared" si="1"/>
        <v>0</v>
      </c>
      <c r="D48" s="647">
        <v>281</v>
      </c>
      <c r="E48" s="352" t="s">
        <v>466</v>
      </c>
      <c r="F48" s="513"/>
      <c r="G48" s="468"/>
      <c r="H48" s="241"/>
      <c r="I48" s="29"/>
      <c r="J48" s="425">
        <f t="shared" si="6"/>
        <v>0</v>
      </c>
      <c r="K48" s="471"/>
      <c r="L48" s="697" t="str">
        <f t="shared" si="7"/>
        <v/>
      </c>
      <c r="M48" s="719"/>
      <c r="N48" s="720"/>
      <c r="O48" s="720"/>
      <c r="P48" s="720"/>
      <c r="Q48" s="720"/>
      <c r="R48" s="720"/>
      <c r="S48" s="720"/>
      <c r="T48" s="721"/>
      <c r="U48" s="71"/>
      <c r="V48" s="464"/>
      <c r="W48" s="476"/>
      <c r="X48" s="666"/>
      <c r="Y48" s="522"/>
      <c r="Z48" s="522"/>
      <c r="AA48" s="522"/>
      <c r="AB48" s="522"/>
    </row>
    <row r="49" spans="1:28" ht="6" customHeight="1" x14ac:dyDescent="0.25">
      <c r="A49" s="646" t="s">
        <v>462</v>
      </c>
      <c r="B49" s="7" t="str">
        <f>IF(  AND(ISNUMBER(C49),OR(ISNUMBER(D49),D49="PG")),IF(IF(Capa!$B$6="B",0,Capa!$B$6)&gt;=C49,1,0),"")</f>
        <v/>
      </c>
      <c r="C49" s="17">
        <f t="shared" si="1"/>
        <v>1</v>
      </c>
      <c r="D49" s="647" t="s">
        <v>62</v>
      </c>
      <c r="E49" s="352"/>
      <c r="F49" s="513"/>
      <c r="G49" s="468"/>
      <c r="H49" s="241"/>
      <c r="I49" s="29"/>
      <c r="J49" s="425">
        <f t="shared" si="6"/>
        <v>0</v>
      </c>
      <c r="K49" s="471"/>
      <c r="L49" s="697" t="str">
        <f t="shared" si="7"/>
        <v/>
      </c>
      <c r="M49" s="719"/>
      <c r="N49" s="720"/>
      <c r="O49" s="720"/>
      <c r="P49" s="720"/>
      <c r="Q49" s="720"/>
      <c r="R49" s="720"/>
      <c r="S49" s="720"/>
      <c r="T49" s="721"/>
      <c r="U49" s="71"/>
      <c r="V49" s="464"/>
      <c r="W49" s="476"/>
      <c r="X49" s="522"/>
      <c r="Y49" s="522"/>
      <c r="Z49" s="522"/>
      <c r="AA49" s="522"/>
      <c r="AB49" s="522"/>
    </row>
    <row r="50" spans="1:28" ht="60" x14ac:dyDescent="0.25">
      <c r="A50" s="646" t="s">
        <v>462</v>
      </c>
      <c r="B50" s="7">
        <f>IF(  AND(ISNUMBER(C50),OR(ISNUMBER(D50),D50="PG")),IF(IF(Capa!$B$6="B",0,Capa!$B$6)&gt;=C50,1,0),"")</f>
        <v>0</v>
      </c>
      <c r="C50" s="17">
        <f t="shared" si="1"/>
        <v>1</v>
      </c>
      <c r="D50" s="647">
        <v>282</v>
      </c>
      <c r="E50" s="352" t="s">
        <v>467</v>
      </c>
      <c r="F50" s="513"/>
      <c r="G50" s="468"/>
      <c r="H50" s="241"/>
      <c r="I50" s="29"/>
      <c r="J50" s="425">
        <f t="shared" si="6"/>
        <v>0</v>
      </c>
      <c r="K50" s="471"/>
      <c r="L50" s="697" t="str">
        <f t="shared" si="7"/>
        <v/>
      </c>
      <c r="M50" s="719"/>
      <c r="N50" s="720"/>
      <c r="O50" s="720"/>
      <c r="P50" s="720"/>
      <c r="Q50" s="720"/>
      <c r="R50" s="720"/>
      <c r="S50" s="720"/>
      <c r="T50" s="721"/>
      <c r="U50" s="71"/>
      <c r="V50" s="464"/>
      <c r="W50" s="476"/>
      <c r="X50" s="522"/>
      <c r="Y50" s="522"/>
      <c r="Z50" s="522"/>
      <c r="AA50" s="522"/>
      <c r="AB50" s="522"/>
    </row>
    <row r="51" spans="1:28" ht="72.599999999999994" customHeight="1" x14ac:dyDescent="0.25">
      <c r="A51" s="646" t="s">
        <v>462</v>
      </c>
      <c r="B51" s="7">
        <f>IF(  AND(ISNUMBER(C51),OR(ISNUMBER(D51),D51="PG")),IF(IF(Capa!$B$6="B",0,Capa!$B$6)&gt;=C51,1,0),"")</f>
        <v>0</v>
      </c>
      <c r="C51" s="17">
        <f t="shared" si="1"/>
        <v>1</v>
      </c>
      <c r="D51" s="647">
        <v>283</v>
      </c>
      <c r="E51" s="352" t="s">
        <v>468</v>
      </c>
      <c r="F51" s="513"/>
      <c r="G51" s="468"/>
      <c r="H51" s="241"/>
      <c r="I51" s="29"/>
      <c r="J51" s="425">
        <f t="shared" si="6"/>
        <v>0</v>
      </c>
      <c r="K51" s="471"/>
      <c r="L51" s="697" t="str">
        <f t="shared" si="7"/>
        <v/>
      </c>
      <c r="M51" s="719"/>
      <c r="N51" s="720"/>
      <c r="O51" s="720"/>
      <c r="P51" s="720"/>
      <c r="Q51" s="720"/>
      <c r="R51" s="720"/>
      <c r="S51" s="720"/>
      <c r="T51" s="721"/>
      <c r="U51" s="71"/>
      <c r="V51" s="464"/>
      <c r="W51" s="476"/>
      <c r="X51" s="522"/>
      <c r="Y51" s="522"/>
      <c r="Z51" s="522"/>
      <c r="AA51" s="522"/>
      <c r="AB51" s="522"/>
    </row>
    <row r="52" spans="1:28" ht="6.6" customHeight="1" x14ac:dyDescent="0.25">
      <c r="A52" s="646" t="s">
        <v>462</v>
      </c>
      <c r="B52" s="7" t="str">
        <f>IF(  AND(ISNUMBER(C52),OR(ISNUMBER(D52),D52="PG")),IF(IF(Capa!$B$6="B",0,Capa!$B$6)&gt;=C52,1,0),"")</f>
        <v/>
      </c>
      <c r="C52" s="17">
        <f t="shared" si="1"/>
        <v>2</v>
      </c>
      <c r="D52" s="647" t="s">
        <v>64</v>
      </c>
      <c r="E52" s="352"/>
      <c r="F52" s="513"/>
      <c r="G52" s="468"/>
      <c r="H52" s="241"/>
      <c r="I52" s="29"/>
      <c r="J52" s="425">
        <f t="shared" si="6"/>
        <v>0</v>
      </c>
      <c r="K52" s="471"/>
      <c r="L52" s="697" t="str">
        <f t="shared" si="7"/>
        <v/>
      </c>
      <c r="M52" s="719"/>
      <c r="N52" s="720"/>
      <c r="O52" s="720"/>
      <c r="P52" s="720"/>
      <c r="Q52" s="720"/>
      <c r="R52" s="720"/>
      <c r="S52" s="720"/>
      <c r="T52" s="721"/>
      <c r="U52" s="71"/>
      <c r="V52" s="464"/>
      <c r="W52" s="476"/>
      <c r="X52" s="522"/>
      <c r="Y52" s="522"/>
      <c r="Z52" s="522"/>
      <c r="AA52" s="522"/>
      <c r="AB52" s="522"/>
    </row>
    <row r="53" spans="1:28" ht="30" x14ac:dyDescent="0.25">
      <c r="A53" s="646" t="s">
        <v>462</v>
      </c>
      <c r="B53" s="7">
        <f>IF(  AND(ISNUMBER(C53),OR(ISNUMBER(D53),D53="PG")),IF(IF(Capa!$B$6="B",0,Capa!$B$6)&gt;=C53,1,0),"")</f>
        <v>0</v>
      </c>
      <c r="C53" s="17">
        <f t="shared" si="1"/>
        <v>2</v>
      </c>
      <c r="D53" s="647">
        <v>284</v>
      </c>
      <c r="E53" s="352" t="s">
        <v>469</v>
      </c>
      <c r="F53" s="513"/>
      <c r="G53" s="468"/>
      <c r="H53" s="241"/>
      <c r="I53" s="29"/>
      <c r="J53" s="425">
        <f t="shared" si="6"/>
        <v>0</v>
      </c>
      <c r="K53" s="471"/>
      <c r="L53" s="697" t="str">
        <f t="shared" si="7"/>
        <v/>
      </c>
      <c r="M53" s="719"/>
      <c r="N53" s="720"/>
      <c r="O53" s="720"/>
      <c r="P53" s="720"/>
      <c r="Q53" s="720"/>
      <c r="R53" s="720"/>
      <c r="S53" s="720"/>
      <c r="T53" s="721"/>
      <c r="U53" s="71"/>
      <c r="V53" s="464"/>
      <c r="W53" s="476"/>
      <c r="X53" s="522"/>
      <c r="Y53" s="522"/>
      <c r="Z53" s="522"/>
      <c r="AA53" s="522"/>
      <c r="AB53" s="522"/>
    </row>
    <row r="54" spans="1:28" ht="45" x14ac:dyDescent="0.25">
      <c r="A54" s="646" t="s">
        <v>462</v>
      </c>
      <c r="B54" s="7">
        <f>IF(  AND(ISNUMBER(C54),OR(ISNUMBER(D54),D54="PG")),IF(IF(Capa!$B$6="B",0,Capa!$B$6)&gt;=C54,1,0),"")</f>
        <v>0</v>
      </c>
      <c r="C54" s="17">
        <f t="shared" si="1"/>
        <v>2</v>
      </c>
      <c r="D54" s="647">
        <v>285</v>
      </c>
      <c r="E54" s="352" t="s">
        <v>470</v>
      </c>
      <c r="F54" s="513"/>
      <c r="G54" s="468"/>
      <c r="H54" s="241"/>
      <c r="I54" s="29"/>
      <c r="J54" s="425">
        <f t="shared" si="6"/>
        <v>0</v>
      </c>
      <c r="K54" s="471"/>
      <c r="L54" s="697" t="str">
        <f t="shared" si="7"/>
        <v/>
      </c>
      <c r="M54" s="719"/>
      <c r="N54" s="720"/>
      <c r="O54" s="720"/>
      <c r="P54" s="720"/>
      <c r="Q54" s="720"/>
      <c r="R54" s="720"/>
      <c r="S54" s="720"/>
      <c r="T54" s="721"/>
      <c r="U54" s="71"/>
      <c r="V54" s="464"/>
      <c r="W54" s="476"/>
      <c r="X54" s="522"/>
      <c r="Y54" s="522"/>
      <c r="Z54" s="522"/>
      <c r="AA54" s="522"/>
      <c r="AB54" s="522"/>
    </row>
    <row r="55" spans="1:28" ht="60" x14ac:dyDescent="0.25">
      <c r="A55" s="646" t="s">
        <v>462</v>
      </c>
      <c r="B55" s="7">
        <f>IF(  AND(ISNUMBER(C55),OR(ISNUMBER(D55),D55="PG")),IF(IF(Capa!$B$6="B",0,Capa!$B$6)&gt;=C55,1,0),"")</f>
        <v>0</v>
      </c>
      <c r="C55" s="17">
        <f t="shared" si="1"/>
        <v>2</v>
      </c>
      <c r="D55" s="647">
        <v>286</v>
      </c>
      <c r="E55" s="352" t="s">
        <v>471</v>
      </c>
      <c r="F55" s="513"/>
      <c r="G55" s="468"/>
      <c r="H55" s="241"/>
      <c r="I55" s="29"/>
      <c r="J55" s="425">
        <f t="shared" si="6"/>
        <v>0</v>
      </c>
      <c r="K55" s="471"/>
      <c r="L55" s="697" t="str">
        <f t="shared" si="7"/>
        <v/>
      </c>
      <c r="M55" s="719"/>
      <c r="N55" s="720"/>
      <c r="O55" s="720"/>
      <c r="P55" s="720"/>
      <c r="Q55" s="720"/>
      <c r="R55" s="720"/>
      <c r="S55" s="720"/>
      <c r="T55" s="721"/>
      <c r="U55" s="71"/>
      <c r="V55" s="464"/>
      <c r="W55" s="476"/>
      <c r="X55" s="522"/>
      <c r="Y55" s="522"/>
      <c r="Z55" s="522"/>
      <c r="AA55" s="522"/>
      <c r="AB55" s="522"/>
    </row>
    <row r="56" spans="1:28" ht="6" customHeight="1" x14ac:dyDescent="0.25">
      <c r="A56" s="646" t="s">
        <v>462</v>
      </c>
      <c r="B56" s="7" t="str">
        <f>IF(  AND(ISNUMBER(C56),OR(ISNUMBER(D56),D56="PG")),IF(IF(Capa!$B$6="B",0,Capa!$B$6)&gt;=C56,1,0),"")</f>
        <v/>
      </c>
      <c r="C56" s="17">
        <f t="shared" si="1"/>
        <v>3</v>
      </c>
      <c r="D56" s="647" t="s">
        <v>70</v>
      </c>
      <c r="E56" s="352"/>
      <c r="F56" s="513"/>
      <c r="G56" s="468"/>
      <c r="H56" s="241"/>
      <c r="I56" s="29"/>
      <c r="J56" s="425">
        <f t="shared" si="6"/>
        <v>0</v>
      </c>
      <c r="K56" s="471"/>
      <c r="L56" s="697" t="str">
        <f t="shared" si="7"/>
        <v/>
      </c>
      <c r="M56" s="719"/>
      <c r="N56" s="720"/>
      <c r="O56" s="720"/>
      <c r="P56" s="720"/>
      <c r="Q56" s="720"/>
      <c r="R56" s="720"/>
      <c r="S56" s="720"/>
      <c r="T56" s="721"/>
      <c r="U56" s="71"/>
      <c r="V56" s="464"/>
      <c r="W56" s="476"/>
      <c r="X56" s="522"/>
      <c r="Y56" s="522"/>
      <c r="Z56" s="522"/>
      <c r="AA56" s="522"/>
      <c r="AB56" s="522"/>
    </row>
    <row r="57" spans="1:28" ht="49.7" customHeight="1" x14ac:dyDescent="0.25">
      <c r="A57" s="646" t="s">
        <v>462</v>
      </c>
      <c r="B57" s="7">
        <f>IF(  AND(ISNUMBER(C57),OR(ISNUMBER(D57),D57="PG")),IF(IF(Capa!$B$6="B",0,Capa!$B$6)&gt;=C57,1,0),"")</f>
        <v>0</v>
      </c>
      <c r="C57" s="17">
        <f t="shared" si="1"/>
        <v>3</v>
      </c>
      <c r="D57" s="647">
        <v>287</v>
      </c>
      <c r="E57" s="352" t="s">
        <v>472</v>
      </c>
      <c r="F57" s="513"/>
      <c r="G57" s="468"/>
      <c r="H57" s="241"/>
      <c r="I57" s="29"/>
      <c r="J57" s="425">
        <f t="shared" si="6"/>
        <v>0</v>
      </c>
      <c r="K57" s="471"/>
      <c r="L57" s="697" t="str">
        <f t="shared" si="7"/>
        <v/>
      </c>
      <c r="M57" s="719"/>
      <c r="N57" s="720"/>
      <c r="O57" s="720"/>
      <c r="P57" s="720"/>
      <c r="Q57" s="720"/>
      <c r="R57" s="720"/>
      <c r="S57" s="720"/>
      <c r="T57" s="721"/>
      <c r="U57" s="71"/>
      <c r="V57" s="464"/>
      <c r="W57" s="476"/>
      <c r="X57" s="522"/>
      <c r="Y57" s="522"/>
      <c r="Z57" s="522"/>
      <c r="AA57" s="522"/>
      <c r="AB57" s="522"/>
    </row>
    <row r="58" spans="1:28" ht="45" x14ac:dyDescent="0.25">
      <c r="A58" s="646" t="s">
        <v>462</v>
      </c>
      <c r="B58" s="7">
        <f>IF(  AND(ISNUMBER(C58),OR(ISNUMBER(D58),D58="PG")),IF(IF(Capa!$B$6="B",0,Capa!$B$6)&gt;=C58,1,0),"")</f>
        <v>0</v>
      </c>
      <c r="C58" s="17">
        <f t="shared" si="1"/>
        <v>3</v>
      </c>
      <c r="D58" s="647">
        <v>288</v>
      </c>
      <c r="E58" s="352" t="s">
        <v>473</v>
      </c>
      <c r="F58" s="513"/>
      <c r="G58" s="468"/>
      <c r="H58" s="241"/>
      <c r="I58" s="29"/>
      <c r="J58" s="425">
        <f t="shared" si="6"/>
        <v>0</v>
      </c>
      <c r="K58" s="471"/>
      <c r="L58" s="697" t="str">
        <f t="shared" si="7"/>
        <v/>
      </c>
      <c r="M58" s="719"/>
      <c r="N58" s="720"/>
      <c r="O58" s="720"/>
      <c r="P58" s="720"/>
      <c r="Q58" s="720"/>
      <c r="R58" s="720"/>
      <c r="S58" s="720"/>
      <c r="T58" s="721"/>
      <c r="U58" s="71"/>
      <c r="V58" s="464"/>
      <c r="W58" s="476"/>
      <c r="X58" s="522"/>
      <c r="Y58" s="522"/>
      <c r="Z58" s="522"/>
      <c r="AA58" s="522"/>
      <c r="AB58" s="522"/>
    </row>
    <row r="59" spans="1:28" ht="30" x14ac:dyDescent="0.25">
      <c r="A59" s="646" t="s">
        <v>462</v>
      </c>
      <c r="B59" s="7">
        <f>IF(  AND(ISNUMBER(C59),OR(ISNUMBER(D59),D59="PG")),IF(IF(Capa!$B$6="B",0,Capa!$B$6)&gt;=C59,1,0),"")</f>
        <v>0</v>
      </c>
      <c r="C59" s="17">
        <f t="shared" si="1"/>
        <v>3</v>
      </c>
      <c r="D59" s="647">
        <v>289</v>
      </c>
      <c r="E59" s="411" t="s">
        <v>474</v>
      </c>
      <c r="F59" s="513"/>
      <c r="G59" s="468"/>
      <c r="H59" s="241"/>
      <c r="I59" s="29"/>
      <c r="J59" s="425">
        <f t="shared" si="6"/>
        <v>0</v>
      </c>
      <c r="K59" s="471"/>
      <c r="L59" s="697" t="str">
        <f t="shared" si="7"/>
        <v/>
      </c>
      <c r="M59" s="719"/>
      <c r="N59" s="720"/>
      <c r="O59" s="720"/>
      <c r="P59" s="720"/>
      <c r="Q59" s="720"/>
      <c r="R59" s="720"/>
      <c r="S59" s="720"/>
      <c r="T59" s="721"/>
      <c r="U59" s="71"/>
      <c r="V59" s="464"/>
      <c r="W59" s="476"/>
      <c r="X59" s="522"/>
      <c r="Y59" s="522"/>
      <c r="Z59" s="522"/>
      <c r="AA59" s="522"/>
      <c r="AB59" s="522"/>
    </row>
    <row r="60" spans="1:28" ht="30" x14ac:dyDescent="0.25">
      <c r="A60" s="646" t="s">
        <v>462</v>
      </c>
      <c r="B60" s="7">
        <f>IF(  AND(ISNUMBER(C60),OR(ISNUMBER(D60),D60="PG")),IF(IF(Capa!$B$6="B",0,Capa!$B$6)&gt;=C60,1,0),"")</f>
        <v>0</v>
      </c>
      <c r="C60" s="17">
        <f t="shared" si="1"/>
        <v>3</v>
      </c>
      <c r="D60" s="647">
        <v>290</v>
      </c>
      <c r="E60" s="411" t="s">
        <v>475</v>
      </c>
      <c r="F60" s="513"/>
      <c r="G60" s="468"/>
      <c r="H60" s="241"/>
      <c r="I60" s="29"/>
      <c r="J60" s="425">
        <f t="shared" si="6"/>
        <v>0</v>
      </c>
      <c r="K60" s="471"/>
      <c r="L60" s="697" t="str">
        <f t="shared" si="7"/>
        <v/>
      </c>
      <c r="M60" s="719"/>
      <c r="N60" s="720"/>
      <c r="O60" s="720"/>
      <c r="P60" s="720"/>
      <c r="Q60" s="720"/>
      <c r="R60" s="720"/>
      <c r="S60" s="720"/>
      <c r="T60" s="721"/>
      <c r="U60" s="71"/>
      <c r="V60" s="464"/>
      <c r="W60" s="476"/>
      <c r="X60" s="522"/>
      <c r="Y60" s="522"/>
      <c r="Z60" s="522"/>
      <c r="AA60" s="522"/>
      <c r="AB60" s="522"/>
    </row>
    <row r="61" spans="1:28" ht="9" customHeight="1" x14ac:dyDescent="0.25">
      <c r="B61" s="7" t="str">
        <f>IF(  AND(ISNUMBER(C61),OR(ISNUMBER(D61),D61="PG")),IF(IF(Capa!$B$6="B",0,Capa!$B$6)&gt;=C61,1,0),"")</f>
        <v/>
      </c>
      <c r="C61" s="17" t="str">
        <f t="shared" si="1"/>
        <v/>
      </c>
      <c r="D61" s="122"/>
      <c r="E61" s="291"/>
      <c r="F61" s="123"/>
      <c r="G61" s="227"/>
      <c r="H61" s="227"/>
      <c r="I61" s="123"/>
      <c r="J61" s="227"/>
      <c r="K61" s="694"/>
      <c r="L61" s="227"/>
      <c r="M61" s="124"/>
      <c r="N61" s="124"/>
      <c r="O61" s="124"/>
      <c r="P61" s="124"/>
      <c r="Q61" s="124"/>
      <c r="R61" s="124"/>
      <c r="S61" s="251"/>
      <c r="T61" s="251"/>
      <c r="U61" s="260"/>
      <c r="V61" s="543"/>
      <c r="W61" s="125"/>
      <c r="X61" s="522"/>
      <c r="Y61" s="522"/>
      <c r="Z61" s="522"/>
      <c r="AA61" s="522"/>
      <c r="AB61" s="522"/>
    </row>
    <row r="62" spans="1:28" x14ac:dyDescent="0.25">
      <c r="A62" s="210" t="s">
        <v>476</v>
      </c>
      <c r="B62" s="7" t="str">
        <f>IF(  AND(ISNUMBER(C62),OR(ISNUMBER(D62),D62="PG")),IF(IF(Capa!$B$6="B",0,Capa!$B$6)&gt;=C62,1,0),"")</f>
        <v/>
      </c>
      <c r="C62" s="17" t="str">
        <f t="shared" si="1"/>
        <v/>
      </c>
      <c r="D62" s="15"/>
      <c r="E62" s="395" t="s">
        <v>477</v>
      </c>
      <c r="F62" s="517"/>
      <c r="G62" s="532"/>
      <c r="H62" s="219"/>
      <c r="I62" s="23"/>
      <c r="J62" s="219"/>
      <c r="K62" s="528"/>
      <c r="L62" s="383" t="str">
        <f>IF(AND($B64=1,D64="PG"),IF(COUNTIFS($A$1:$A$235,"="&amp;$A62,$B$1:$B$235,"&gt;0",$D$1:$D$235,"&gt;0")&gt;0,
        (COUNTIFS($A$1:$A$235,"="&amp;$A62,$B$1:$B$235,"&gt;0",$D$1:$D$235,"&gt;0",F$1:F$235,"=S",I$1:I$235,"") +
         (COUNTIFS($A$1:$A$235,"="&amp;$A62,$B$1:$B$235,"&gt;0",$D$1:$D$235,"&gt;0",$F$1:$F$235,"=P",I$1:I$235,"")/2) +
         COUNTIFS($A$1:$A$235,"="&amp;$A62,$B$1:$B$235,"&gt;0",$D$1:$D$235,"&gt;0",I$1:I$235,"=S") +
         (COUNTIFS($A$1:$A$235,"="&amp;$A62,$B$1:$B$235,"&gt;0",$D$1:$D$235,"&gt;0",I$1:I$235,"=P")/2)
         )/COUNTIFS($A$1:$A$235,"="&amp;$A62,$B$1:$B$235,"&gt;0",$D$1:$D$235,"&gt;0"),1),"")</f>
        <v/>
      </c>
      <c r="M62" s="380"/>
      <c r="N62" s="70"/>
      <c r="O62" s="68"/>
      <c r="P62" s="68"/>
      <c r="Q62" s="83" t="str">
        <f>IF(L62="","",MIN(IF(ISBLANK(Q64),0,Q64),IF(L62&gt;0.9,4,IF(L62&gt;0.5,3,IF(L62&gt;0.3,2,IF(OR(L62&gt;0,Q64&gt;0),1,0))))))</f>
        <v/>
      </c>
      <c r="R62" s="70"/>
      <c r="S62" s="260"/>
      <c r="T62" s="260"/>
      <c r="U62" s="260"/>
      <c r="V62" s="537"/>
      <c r="W62" s="66"/>
      <c r="X62" s="579"/>
      <c r="Y62" s="579"/>
      <c r="Z62" s="579"/>
      <c r="AA62" s="579"/>
      <c r="AB62" s="579"/>
    </row>
    <row r="63" spans="1:28" ht="5.45" customHeight="1" x14ac:dyDescent="0.25">
      <c r="A63" s="210" t="s">
        <v>476</v>
      </c>
      <c r="B63" s="7" t="str">
        <f>IF(  AND(ISNUMBER(C63),OR(ISNUMBER(D63),D63="PG")),IF(IF(Capa!$B$6="B",0,Capa!$B$6)&gt;=C63,1,0),"")</f>
        <v/>
      </c>
      <c r="C63" s="17">
        <f t="shared" si="1"/>
        <v>1</v>
      </c>
      <c r="D63" s="5" t="s">
        <v>62</v>
      </c>
      <c r="E63" s="391"/>
      <c r="F63" s="554"/>
      <c r="G63" s="572"/>
      <c r="H63" s="239"/>
      <c r="I63" s="26"/>
      <c r="J63" s="239"/>
      <c r="K63" s="569"/>
      <c r="L63" s="242"/>
      <c r="M63" s="59"/>
      <c r="N63" s="59"/>
      <c r="O63" s="59"/>
      <c r="P63" s="59"/>
      <c r="Q63" s="59"/>
      <c r="R63" s="59"/>
      <c r="S63" s="262"/>
      <c r="T63" s="262"/>
      <c r="U63" s="355"/>
      <c r="V63" s="538"/>
      <c r="W63" s="478"/>
      <c r="X63" s="522"/>
      <c r="Y63" s="522"/>
      <c r="Z63" s="522"/>
      <c r="AA63" s="522"/>
      <c r="AB63" s="522"/>
    </row>
    <row r="64" spans="1:28" ht="63.75" x14ac:dyDescent="0.25">
      <c r="A64" s="646" t="s">
        <v>476</v>
      </c>
      <c r="B64" s="7">
        <f>IF(  AND(ISNUMBER(C64),OR(ISNUMBER(D64),D64="PG")),IF(IF(Capa!$B$6="B",0,Capa!$B$6)&gt;=C64,1,0),"")</f>
        <v>0</v>
      </c>
      <c r="C64" s="17">
        <f t="shared" si="1"/>
        <v>1</v>
      </c>
      <c r="D64" s="647" t="s">
        <v>54</v>
      </c>
      <c r="E64" s="389" t="s">
        <v>478</v>
      </c>
      <c r="F64" s="513"/>
      <c r="G64" s="468"/>
      <c r="H64" s="241"/>
      <c r="I64" s="29"/>
      <c r="J64" s="239"/>
      <c r="K64" s="471"/>
      <c r="L64" s="697" t="str">
        <f>IF(OR(AND(NOT(ISBLANK(M64)),M64&lt;IF(Capa!$B$6&lt;&gt;"B",Capa!$B$6+1,1)),AND(NOT(ISBLANK(N64)),N64&lt;IF(Capa!$B$6&lt;&gt;"B",Capa!$B$6+1,1)),AND(NOT(ISBLANK(O64)),O64&lt;IF(Capa!$B$6&lt;&gt;"B",Capa!$B$6+1,1)),AND(NOT(ISBLANK(Q64)),Q64&lt;IF(Capa!$B$6&lt;&gt;"B",Capa!$B$6+1,1)),AND(NOT(ISBLANK(R64)),R64&lt;IF(Capa!$B$6&lt;&gt;"B",Capa!$B$6+1,1)),AND(NOT(ISBLANK(S64)),S64&lt;IF(Capa!$B$6&lt;&gt;"B",Capa!$B$6+1,1))),1,"")</f>
        <v/>
      </c>
      <c r="M64" s="81"/>
      <c r="N64" s="81"/>
      <c r="O64" s="81"/>
      <c r="P64" s="81"/>
      <c r="Q64" s="81"/>
      <c r="R64" s="81"/>
      <c r="S64" s="81"/>
      <c r="T64" s="81"/>
      <c r="U64" s="58"/>
      <c r="V64" s="464"/>
      <c r="W64" s="476"/>
      <c r="X64" s="666"/>
      <c r="Y64" s="522"/>
      <c r="Z64" s="522"/>
      <c r="AA64" s="522"/>
      <c r="AB64" s="522"/>
    </row>
    <row r="65" spans="1:28" ht="30" x14ac:dyDescent="0.25">
      <c r="A65" s="646" t="s">
        <v>476</v>
      </c>
      <c r="B65" s="7">
        <f>IF(  AND(ISNUMBER(C65),OR(ISNUMBER(D65),D65="PG")),IF(IF(Capa!$B$6="B",0,Capa!$B$6)&gt;=C65,1,0),"")</f>
        <v>0</v>
      </c>
      <c r="C65" s="17">
        <f t="shared" si="1"/>
        <v>1</v>
      </c>
      <c r="D65" s="647">
        <v>291</v>
      </c>
      <c r="E65" s="352" t="s">
        <v>479</v>
      </c>
      <c r="F65" s="513"/>
      <c r="G65" s="468"/>
      <c r="H65" s="241"/>
      <c r="I65" s="29"/>
      <c r="J65" s="425">
        <f t="shared" ref="J65:J76" si="8">LEN(K65)</f>
        <v>0</v>
      </c>
      <c r="K65" s="471"/>
      <c r="L65" s="697" t="str">
        <f t="shared" ref="L65:L76" si="9">IF(OR(I65="N",I65="P"),1,"")</f>
        <v/>
      </c>
      <c r="M65" s="719"/>
      <c r="N65" s="720"/>
      <c r="O65" s="720"/>
      <c r="P65" s="720"/>
      <c r="Q65" s="720"/>
      <c r="R65" s="720"/>
      <c r="S65" s="720"/>
      <c r="T65" s="721"/>
      <c r="U65" s="71"/>
      <c r="V65" s="464"/>
      <c r="W65" s="476"/>
      <c r="X65" s="522"/>
      <c r="Y65" s="522"/>
      <c r="Z65" s="522"/>
      <c r="AA65" s="522"/>
      <c r="AB65" s="522"/>
    </row>
    <row r="66" spans="1:28" ht="52.7" customHeight="1" x14ac:dyDescent="0.25">
      <c r="A66" s="646" t="s">
        <v>476</v>
      </c>
      <c r="B66" s="7">
        <f>IF(  AND(ISNUMBER(C66),OR(ISNUMBER(D66),D66="PG")),IF(IF(Capa!$B$6="B",0,Capa!$B$6)&gt;=C66,1,0),"")</f>
        <v>0</v>
      </c>
      <c r="C66" s="17">
        <f t="shared" si="1"/>
        <v>1</v>
      </c>
      <c r="D66" s="647">
        <v>292</v>
      </c>
      <c r="E66" s="352" t="s">
        <v>480</v>
      </c>
      <c r="F66" s="513"/>
      <c r="G66" s="468"/>
      <c r="H66" s="241"/>
      <c r="I66" s="29"/>
      <c r="J66" s="425">
        <f t="shared" si="8"/>
        <v>0</v>
      </c>
      <c r="K66" s="471"/>
      <c r="L66" s="697" t="str">
        <f t="shared" si="9"/>
        <v/>
      </c>
      <c r="M66" s="719"/>
      <c r="N66" s="720"/>
      <c r="O66" s="720"/>
      <c r="P66" s="720"/>
      <c r="Q66" s="720"/>
      <c r="R66" s="720"/>
      <c r="S66" s="720"/>
      <c r="T66" s="721"/>
      <c r="U66" s="71"/>
      <c r="V66" s="464"/>
      <c r="W66" s="476"/>
      <c r="X66" s="522"/>
      <c r="Y66" s="522"/>
      <c r="Z66" s="522"/>
      <c r="AA66" s="522"/>
      <c r="AB66" s="522"/>
    </row>
    <row r="67" spans="1:28" ht="60" x14ac:dyDescent="0.25">
      <c r="A67" s="646" t="s">
        <v>476</v>
      </c>
      <c r="B67" s="7">
        <f>IF(  AND(ISNUMBER(C67),OR(ISNUMBER(D67),D67="PG")),IF(IF(Capa!$B$6="B",0,Capa!$B$6)&gt;=C67,1,0),"")</f>
        <v>0</v>
      </c>
      <c r="C67" s="17">
        <f t="shared" si="1"/>
        <v>1</v>
      </c>
      <c r="D67" s="647">
        <v>293</v>
      </c>
      <c r="E67" s="352" t="s">
        <v>481</v>
      </c>
      <c r="F67" s="513"/>
      <c r="G67" s="468"/>
      <c r="H67" s="241"/>
      <c r="I67" s="29"/>
      <c r="J67" s="425">
        <f t="shared" si="8"/>
        <v>0</v>
      </c>
      <c r="K67" s="471"/>
      <c r="L67" s="697" t="str">
        <f t="shared" si="9"/>
        <v/>
      </c>
      <c r="M67" s="719"/>
      <c r="N67" s="720"/>
      <c r="O67" s="720"/>
      <c r="P67" s="720"/>
      <c r="Q67" s="720"/>
      <c r="R67" s="720"/>
      <c r="S67" s="720"/>
      <c r="T67" s="721"/>
      <c r="U67" s="71"/>
      <c r="V67" s="464"/>
      <c r="W67" s="476"/>
      <c r="X67" s="522"/>
      <c r="Y67" s="522"/>
      <c r="Z67" s="522"/>
      <c r="AA67" s="522"/>
      <c r="AB67" s="522"/>
    </row>
    <row r="68" spans="1:28" ht="7.7" customHeight="1" x14ac:dyDescent="0.25">
      <c r="A68" s="646" t="s">
        <v>476</v>
      </c>
      <c r="B68" s="7" t="str">
        <f>IF(  AND(ISNUMBER(C68),OR(ISNUMBER(D68),D68="PG")),IF(IF(Capa!$B$6="B",0,Capa!$B$6)&gt;=C68,1,0),"")</f>
        <v/>
      </c>
      <c r="C68" s="17">
        <f t="shared" si="1"/>
        <v>2</v>
      </c>
      <c r="D68" s="647" t="s">
        <v>64</v>
      </c>
      <c r="E68" s="352"/>
      <c r="F68" s="513"/>
      <c r="G68" s="468"/>
      <c r="H68" s="241"/>
      <c r="I68" s="29"/>
      <c r="J68" s="425">
        <f t="shared" si="8"/>
        <v>0</v>
      </c>
      <c r="K68" s="471"/>
      <c r="L68" s="697" t="str">
        <f t="shared" si="9"/>
        <v/>
      </c>
      <c r="M68" s="719"/>
      <c r="N68" s="720"/>
      <c r="O68" s="720"/>
      <c r="P68" s="720"/>
      <c r="Q68" s="720"/>
      <c r="R68" s="720"/>
      <c r="S68" s="720"/>
      <c r="T68" s="721"/>
      <c r="U68" s="71"/>
      <c r="V68" s="464"/>
      <c r="W68" s="476"/>
      <c r="X68" s="522"/>
      <c r="Y68" s="522"/>
      <c r="Z68" s="522"/>
      <c r="AA68" s="522"/>
      <c r="AB68" s="522"/>
    </row>
    <row r="69" spans="1:28" ht="60" x14ac:dyDescent="0.25">
      <c r="A69" s="646" t="s">
        <v>476</v>
      </c>
      <c r="B69" s="7">
        <f>IF(  AND(ISNUMBER(C69),OR(ISNUMBER(D69),D69="PG")),IF(IF(Capa!$B$6="B",0,Capa!$B$6)&gt;=C69,1,0),"")</f>
        <v>0</v>
      </c>
      <c r="C69" s="17">
        <f t="shared" ref="C69:C118" si="10">IF(ISBLANK(D69),"",IF(ISERR(SEARCH(D69&amp;"\","&lt;B&gt;\&lt;1&gt;\&lt;2&gt;\&lt;3&gt;\")),IF(AND(NOT(ISBLANK(C68)),C68&lt;=3),C68,""),
IF(SEARCH(D69&amp;"\","&lt;B&gt;\&lt;1&gt;\&lt;2&gt;\&lt;3&gt;\")=1,0,IF(SEARCH(D69&amp;"\","&lt;B&gt;\&lt;1&gt;\&lt;2&gt;\&lt;3&gt;\")=5,1,IF(SEARCH(D69&amp;"\","&lt;B&gt;\&lt;1&gt;\&lt;2&gt;\&lt;3&gt;\")=9,2,IF(SEARCH(D69&amp;"\","&lt;B&gt;\&lt;1&gt;\&lt;2&gt;\&lt;3&gt;\")=13,3,""))))))</f>
        <v>2</v>
      </c>
      <c r="D69" s="647">
        <v>294</v>
      </c>
      <c r="E69" s="352" t="s">
        <v>482</v>
      </c>
      <c r="F69" s="513"/>
      <c r="G69" s="468"/>
      <c r="H69" s="241"/>
      <c r="I69" s="29"/>
      <c r="J69" s="425">
        <f t="shared" si="8"/>
        <v>0</v>
      </c>
      <c r="K69" s="471"/>
      <c r="L69" s="697" t="str">
        <f t="shared" si="9"/>
        <v/>
      </c>
      <c r="M69" s="719"/>
      <c r="N69" s="720"/>
      <c r="O69" s="720"/>
      <c r="P69" s="720"/>
      <c r="Q69" s="720"/>
      <c r="R69" s="720"/>
      <c r="S69" s="720"/>
      <c r="T69" s="721"/>
      <c r="U69" s="71"/>
      <c r="V69" s="464"/>
      <c r="W69" s="476"/>
      <c r="X69" s="522"/>
      <c r="Y69" s="522"/>
      <c r="Z69" s="522"/>
      <c r="AA69" s="522"/>
      <c r="AB69" s="522"/>
    </row>
    <row r="70" spans="1:28" ht="75" x14ac:dyDescent="0.25">
      <c r="A70" s="646" t="s">
        <v>476</v>
      </c>
      <c r="B70" s="7">
        <f>IF(  AND(ISNUMBER(C70),OR(ISNUMBER(D70),D70="PG")),IF(IF(Capa!$B$6="B",0,Capa!$B$6)&gt;=C70,1,0),"")</f>
        <v>0</v>
      </c>
      <c r="C70" s="17">
        <f t="shared" si="10"/>
        <v>2</v>
      </c>
      <c r="D70" s="647">
        <v>295</v>
      </c>
      <c r="E70" s="352" t="s">
        <v>483</v>
      </c>
      <c r="F70" s="513"/>
      <c r="G70" s="468"/>
      <c r="H70" s="241"/>
      <c r="I70" s="29"/>
      <c r="J70" s="425">
        <f t="shared" si="8"/>
        <v>0</v>
      </c>
      <c r="K70" s="471"/>
      <c r="L70" s="697" t="str">
        <f t="shared" si="9"/>
        <v/>
      </c>
      <c r="M70" s="719"/>
      <c r="N70" s="720"/>
      <c r="O70" s="720"/>
      <c r="P70" s="720"/>
      <c r="Q70" s="720"/>
      <c r="R70" s="720"/>
      <c r="S70" s="720"/>
      <c r="T70" s="721"/>
      <c r="U70" s="71"/>
      <c r="V70" s="464"/>
      <c r="W70" s="476"/>
      <c r="X70" s="522"/>
      <c r="Y70" s="522"/>
      <c r="Z70" s="522"/>
      <c r="AA70" s="522"/>
      <c r="AB70" s="522"/>
    </row>
    <row r="71" spans="1:28" ht="9" customHeight="1" x14ac:dyDescent="0.25">
      <c r="A71" s="646" t="s">
        <v>476</v>
      </c>
      <c r="B71" s="7" t="str">
        <f>IF(  AND(ISNUMBER(C71),OR(ISNUMBER(D71),D71="PG")),IF(IF(Capa!$B$6="B",0,Capa!$B$6)&gt;=C71,1,0),"")</f>
        <v/>
      </c>
      <c r="C71" s="17">
        <f t="shared" si="10"/>
        <v>3</v>
      </c>
      <c r="D71" s="647" t="s">
        <v>70</v>
      </c>
      <c r="E71" s="352"/>
      <c r="F71" s="513"/>
      <c r="G71" s="468"/>
      <c r="H71" s="241"/>
      <c r="I71" s="29"/>
      <c r="J71" s="425">
        <f t="shared" si="8"/>
        <v>0</v>
      </c>
      <c r="K71" s="471"/>
      <c r="L71" s="697" t="str">
        <f t="shared" si="9"/>
        <v/>
      </c>
      <c r="M71" s="719"/>
      <c r="N71" s="720"/>
      <c r="O71" s="720"/>
      <c r="P71" s="720"/>
      <c r="Q71" s="720"/>
      <c r="R71" s="720"/>
      <c r="S71" s="720"/>
      <c r="T71" s="721"/>
      <c r="U71" s="71"/>
      <c r="V71" s="464"/>
      <c r="W71" s="476"/>
      <c r="X71" s="522"/>
      <c r="Y71" s="522"/>
      <c r="Z71" s="522"/>
      <c r="AA71" s="522"/>
      <c r="AB71" s="522"/>
    </row>
    <row r="72" spans="1:28" ht="90" x14ac:dyDescent="0.25">
      <c r="A72" s="646" t="s">
        <v>476</v>
      </c>
      <c r="B72" s="7">
        <f>IF(  AND(ISNUMBER(C72),OR(ISNUMBER(D72),D72="PG")),IF(IF(Capa!$B$6="B",0,Capa!$B$6)&gt;=C72,1,0),"")</f>
        <v>0</v>
      </c>
      <c r="C72" s="17">
        <f t="shared" si="10"/>
        <v>3</v>
      </c>
      <c r="D72" s="647">
        <v>296</v>
      </c>
      <c r="E72" s="352" t="s">
        <v>484</v>
      </c>
      <c r="F72" s="513"/>
      <c r="G72" s="468"/>
      <c r="H72" s="241"/>
      <c r="I72" s="29"/>
      <c r="J72" s="425">
        <f t="shared" si="8"/>
        <v>0</v>
      </c>
      <c r="K72" s="471"/>
      <c r="L72" s="697" t="str">
        <f t="shared" si="9"/>
        <v/>
      </c>
      <c r="M72" s="719"/>
      <c r="N72" s="720"/>
      <c r="O72" s="720"/>
      <c r="P72" s="720"/>
      <c r="Q72" s="720"/>
      <c r="R72" s="720"/>
      <c r="S72" s="720"/>
      <c r="T72" s="721"/>
      <c r="U72" s="71"/>
      <c r="V72" s="464"/>
      <c r="W72" s="476"/>
      <c r="X72" s="522"/>
      <c r="Y72" s="522"/>
      <c r="Z72" s="522"/>
      <c r="AA72" s="522"/>
      <c r="AB72" s="522"/>
    </row>
    <row r="73" spans="1:28" ht="30" x14ac:dyDescent="0.25">
      <c r="A73" s="646" t="s">
        <v>476</v>
      </c>
      <c r="B73" s="7">
        <f>IF(  AND(ISNUMBER(C73),OR(ISNUMBER(D73),D73="PG")),IF(IF(Capa!$B$6="B",0,Capa!$B$6)&gt;=C73,1,0),"")</f>
        <v>0</v>
      </c>
      <c r="C73" s="17">
        <f t="shared" si="10"/>
        <v>3</v>
      </c>
      <c r="D73" s="647">
        <v>297</v>
      </c>
      <c r="E73" s="352" t="s">
        <v>485</v>
      </c>
      <c r="F73" s="513"/>
      <c r="G73" s="468"/>
      <c r="H73" s="241"/>
      <c r="I73" s="29"/>
      <c r="J73" s="425">
        <f t="shared" si="8"/>
        <v>0</v>
      </c>
      <c r="K73" s="471"/>
      <c r="L73" s="697" t="str">
        <f t="shared" si="9"/>
        <v/>
      </c>
      <c r="M73" s="719"/>
      <c r="N73" s="720"/>
      <c r="O73" s="720"/>
      <c r="P73" s="720"/>
      <c r="Q73" s="720"/>
      <c r="R73" s="720"/>
      <c r="S73" s="720"/>
      <c r="T73" s="721"/>
      <c r="U73" s="71"/>
      <c r="V73" s="464"/>
      <c r="W73" s="476"/>
      <c r="X73" s="522"/>
      <c r="Y73" s="522"/>
      <c r="Z73" s="522"/>
      <c r="AA73" s="522"/>
      <c r="AB73" s="522"/>
    </row>
    <row r="74" spans="1:28" ht="30" x14ac:dyDescent="0.25">
      <c r="A74" s="646" t="s">
        <v>476</v>
      </c>
      <c r="B74" s="7">
        <f>IF(  AND(ISNUMBER(C74),OR(ISNUMBER(D74),D74="PG")),IF(IF(Capa!$B$6="B",0,Capa!$B$6)&gt;=C74,1,0),"")</f>
        <v>0</v>
      </c>
      <c r="C74" s="17">
        <f t="shared" si="10"/>
        <v>3</v>
      </c>
      <c r="D74" s="647">
        <v>298</v>
      </c>
      <c r="E74" s="352" t="s">
        <v>486</v>
      </c>
      <c r="F74" s="513"/>
      <c r="G74" s="468"/>
      <c r="H74" s="241"/>
      <c r="I74" s="29"/>
      <c r="J74" s="425">
        <f t="shared" si="8"/>
        <v>0</v>
      </c>
      <c r="K74" s="471"/>
      <c r="L74" s="697" t="str">
        <f t="shared" si="9"/>
        <v/>
      </c>
      <c r="M74" s="719"/>
      <c r="N74" s="720"/>
      <c r="O74" s="720"/>
      <c r="P74" s="720"/>
      <c r="Q74" s="720"/>
      <c r="R74" s="720"/>
      <c r="S74" s="720"/>
      <c r="T74" s="721"/>
      <c r="U74" s="71"/>
      <c r="V74" s="464"/>
      <c r="W74" s="476"/>
      <c r="X74" s="522"/>
      <c r="Y74" s="522"/>
      <c r="Z74" s="522"/>
      <c r="AA74" s="522"/>
      <c r="AB74" s="522"/>
    </row>
    <row r="75" spans="1:28" ht="45" x14ac:dyDescent="0.25">
      <c r="A75" s="646" t="s">
        <v>476</v>
      </c>
      <c r="B75" s="7">
        <f>IF(  AND(ISNUMBER(C75),OR(ISNUMBER(D75),D75="PG")),IF(IF(Capa!$B$6="B",0,Capa!$B$6)&gt;=C75,1,0),"")</f>
        <v>0</v>
      </c>
      <c r="C75" s="17">
        <f t="shared" si="10"/>
        <v>3</v>
      </c>
      <c r="D75" s="647">
        <v>299</v>
      </c>
      <c r="E75" s="352" t="s">
        <v>487</v>
      </c>
      <c r="F75" s="513"/>
      <c r="G75" s="468"/>
      <c r="H75" s="241"/>
      <c r="I75" s="29"/>
      <c r="J75" s="425">
        <f t="shared" si="8"/>
        <v>0</v>
      </c>
      <c r="K75" s="471"/>
      <c r="L75" s="697" t="str">
        <f t="shared" si="9"/>
        <v/>
      </c>
      <c r="M75" s="719"/>
      <c r="N75" s="720"/>
      <c r="O75" s="720"/>
      <c r="P75" s="720"/>
      <c r="Q75" s="720"/>
      <c r="R75" s="720"/>
      <c r="S75" s="720"/>
      <c r="T75" s="721"/>
      <c r="U75" s="71"/>
      <c r="V75" s="464"/>
      <c r="W75" s="476"/>
      <c r="X75" s="522"/>
      <c r="Y75" s="522"/>
      <c r="Z75" s="522"/>
      <c r="AA75" s="522"/>
      <c r="AB75" s="522"/>
    </row>
    <row r="76" spans="1:28" ht="30" x14ac:dyDescent="0.25">
      <c r="A76" s="646" t="s">
        <v>476</v>
      </c>
      <c r="B76" s="7">
        <f>IF(  AND(ISNUMBER(C76),OR(ISNUMBER(D76),D76="PG")),IF(IF(Capa!$B$6="B",0,Capa!$B$6)&gt;=C76,1,0),"")</f>
        <v>0</v>
      </c>
      <c r="C76" s="17">
        <f t="shared" si="10"/>
        <v>3</v>
      </c>
      <c r="D76" s="647">
        <v>300</v>
      </c>
      <c r="E76" s="412" t="s">
        <v>488</v>
      </c>
      <c r="F76" s="513"/>
      <c r="G76" s="468"/>
      <c r="H76" s="241"/>
      <c r="I76" s="29"/>
      <c r="J76" s="425">
        <f t="shared" si="8"/>
        <v>0</v>
      </c>
      <c r="K76" s="471"/>
      <c r="L76" s="697" t="str">
        <f t="shared" si="9"/>
        <v/>
      </c>
      <c r="M76" s="719"/>
      <c r="N76" s="720"/>
      <c r="O76" s="720"/>
      <c r="P76" s="720"/>
      <c r="Q76" s="720"/>
      <c r="R76" s="720"/>
      <c r="S76" s="720"/>
      <c r="T76" s="721"/>
      <c r="U76" s="71"/>
      <c r="V76" s="464"/>
      <c r="W76" s="477"/>
      <c r="X76" s="522"/>
      <c r="Y76" s="522"/>
      <c r="Z76" s="522"/>
      <c r="AA76" s="522"/>
      <c r="AB76" s="522"/>
    </row>
    <row r="77" spans="1:28" ht="9" customHeight="1" x14ac:dyDescent="0.25">
      <c r="B77" s="7" t="str">
        <f>IF(  AND(ISNUMBER(C77),OR(ISNUMBER(D77),D77="PG")),IF(IF(Capa!$B$6="B",0,Capa!$B$6)&gt;=C77,1,0),"")</f>
        <v/>
      </c>
      <c r="C77" s="17" t="str">
        <f t="shared" si="10"/>
        <v/>
      </c>
      <c r="D77" s="122"/>
      <c r="E77" s="291"/>
      <c r="F77" s="123"/>
      <c r="G77" s="227"/>
      <c r="H77" s="227"/>
      <c r="I77" s="123"/>
      <c r="J77" s="227"/>
      <c r="K77" s="694"/>
      <c r="L77" s="227"/>
      <c r="M77" s="124"/>
      <c r="N77" s="124"/>
      <c r="O77" s="124"/>
      <c r="P77" s="124"/>
      <c r="Q77" s="124"/>
      <c r="R77" s="124"/>
      <c r="S77" s="251"/>
      <c r="T77" s="251"/>
      <c r="U77" s="260"/>
      <c r="V77" s="543"/>
      <c r="W77" s="125"/>
      <c r="X77" s="522"/>
      <c r="Y77" s="522"/>
      <c r="Z77" s="522"/>
      <c r="AA77" s="522"/>
      <c r="AB77" s="522"/>
    </row>
    <row r="78" spans="1:28" ht="27" customHeight="1" x14ac:dyDescent="0.25">
      <c r="A78" s="210" t="s">
        <v>489</v>
      </c>
      <c r="B78" s="7" t="str">
        <f>IF(  AND(ISNUMBER(C78),OR(ISNUMBER(D78),D78="PG")),IF(IF(Capa!$B$6="B",0,Capa!$B$6)&gt;=C78,1,0),"")</f>
        <v/>
      </c>
      <c r="C78" s="17" t="str">
        <f t="shared" si="10"/>
        <v/>
      </c>
      <c r="D78" s="15"/>
      <c r="E78" s="395" t="s">
        <v>490</v>
      </c>
      <c r="F78" s="381">
        <f>IF(COUNTIFS($A$1:$A$235,"="&amp;A78&amp;"?",$B$1:$B$235,"&gt;0",$D$1:$D$235,"&gt;0")&gt;0,(COUNTIFS($A$1:$A$235,"="&amp;A78&amp;"?",$B$1:$B$235,"&gt;0",$D$1:$D$235,"&gt;0",F$1:F$235,"=S")+COUNTIFS($A$1:$A$235,"="&amp;A78&amp;"?",$B$1:$B$235,"&gt;0",$D$1:$D$235,"&gt;0",$F$1:$F$235,"=P")+COUNTIFS($A$1:$A$235,"="&amp;A78&amp;"?",$B$1:$B$235,"&gt;0",$D$1:$D$235,"&gt;0",F$1:F$235,"=N")+COUNTIFS($A$1:$A$235,"="&amp;A78&amp;"?",$B$1:$B$235,"&gt;0",$D$1:$D$235,"&gt;0",F$1:F$235,"=NA"))/COUNTIFS($A$1:$A$235,"="&amp;A78&amp;"?",$B$1:$B$235,"&gt;0",$D$1:$D$235,"&gt;0"),0)</f>
        <v>0</v>
      </c>
      <c r="G78" s="534"/>
      <c r="H78" s="232"/>
      <c r="I78" s="381">
        <f>IF(COUNTIFS($A$1:$A$235,"="&amp;A78&amp;"?",$B$1:$B$235,"&gt;0",$D$1:$D$235,"&gt;0")&gt;0,
        (COUNTIFS($A$1:$A$235,"="&amp;A78&amp;"?",$B$1:$B$235,"&gt;0",$D$1:$D$235,"&gt;0",F$1:F$235,"=S",I$1:I$235,"") +
         (COUNTIFS($A$1:$A$235,"="&amp;A78&amp;"?",$B$1:$B$235,"&gt;0",$D$1:$D$235,"&gt;0",$F$1:$F$235,"=P",I$1:I$235,"")/2) +
         COUNTIFS($A$1:$A$235,"="&amp;A78&amp;"?",$B$1:$B$235,"&gt;0",$D$1:$D$235,"&gt;0",I$1:I$235,"=S") +
         (COUNTIFS($A$1:$A$235,"="&amp;A78&amp;"?",$B$1:$B$235,"&gt;0",$D$1:$D$235,"&gt;0",I$1:I$235,"=P")/2)
         )/COUNTIFS($A$1:$A$235,"="&amp;A78&amp;"?",$B$1:$B$235,"&gt;0",$D$1:$D$235,"&gt;0"),0)</f>
        <v>0</v>
      </c>
      <c r="J78" s="219"/>
      <c r="K78" s="528"/>
      <c r="L78" s="219"/>
      <c r="M78" s="722">
        <f>(M79*20+N79*10+O79*10+Q79*30+R79*15+S79*15)/100</f>
        <v>0</v>
      </c>
      <c r="N78" s="723"/>
      <c r="O78" s="723"/>
      <c r="P78" s="723"/>
      <c r="Q78" s="723"/>
      <c r="R78" s="723"/>
      <c r="S78" s="723"/>
      <c r="T78" s="724"/>
      <c r="U78" s="450"/>
      <c r="V78" s="537"/>
      <c r="W78" s="66"/>
      <c r="X78" s="579"/>
      <c r="Y78" s="579"/>
      <c r="Z78" s="579"/>
      <c r="AA78" s="579"/>
      <c r="AB78" s="579"/>
    </row>
    <row r="79" spans="1:28" ht="16.7" customHeight="1" x14ac:dyDescent="0.25">
      <c r="A79" s="210" t="s">
        <v>489</v>
      </c>
      <c r="B79" s="7" t="str">
        <f>IF(  AND(ISNUMBER(C79),OR(ISNUMBER(D79),D79="PG")),IF(IF(Capa!$B$6="B",0,Capa!$B$6)&gt;=C79,1,0),"")</f>
        <v/>
      </c>
      <c r="C79" s="17" t="str">
        <f t="shared" si="10"/>
        <v/>
      </c>
      <c r="D79" s="5"/>
      <c r="E79" s="393">
        <f>IF(SUMIFS($B$1:$B$235,$A$1:$A$235,"="&amp;A78&amp;"?",B$1:B$235,"&gt;0")&lt;=0,0,COUNTIFS($F$1:$F$235,"*",$A$1:$A$235,"="&amp;A78&amp;"?",B$1:B$235,"&gt;0")/SUMIFS($B$1:$B$235,$A$1:$A$235,"="&amp;A78&amp;"?",B$1:B$235,"&gt;0"))</f>
        <v>0</v>
      </c>
      <c r="F79" s="555"/>
      <c r="G79" s="573"/>
      <c r="H79" s="253"/>
      <c r="I79" s="36"/>
      <c r="J79" s="253"/>
      <c r="K79" s="570"/>
      <c r="L79" s="255"/>
      <c r="M79" s="100">
        <f>(COUNTIFS($A$1:$A$235,"="&amp;$A78&amp;"?",$B$1:$B$235,"&gt;0",$D$1:$D$235,"=PG",M$1:M$235,"=1")*(IF(Capa!$B$6="B",100,IF(Capa!$B$6=1,50,IF(Capa!$B$6=2,33,25))))+COUNTIFS($A$1:$A$235,"="&amp;$A78&amp;"?",$B$1:$B$235,"&gt;0",$D$1:$D$235,"=PG",M$1:M$235,"=2")*(IF(Capa!$B$6="B",100,IF(Capa!$B$6=1,100,IF(Capa!$B$6=2,67,50))))+COUNTIFS($A$1:$A$235,"="&amp;$A78&amp;"?",$B$1:$B$235,"&gt;0",$D$1:$D$235,"=PG",M$1:M$235,"=3")*(IF(Capa!$B$6="B",100,IF(Capa!$B$6=1,100,IF(Capa!$B$6=2,100,75))))+COUNTIFS($A$1:$A$235,"="&amp;$A78&amp;"?",$B$1:$B$235,"&gt;0",$D$1:$D$235,"=PG",M$1:M$235,"=4")*100)/(COUNTIFS($A$1:$A$235,"="&amp;$A78&amp;"?",$B$1:$B$235,"&gt;0",$D$1:$D$235,"=PG")*100)</f>
        <v>0</v>
      </c>
      <c r="N79" s="100">
        <f>(COUNTIFS($A$1:$A$235,"="&amp;$A78&amp;"?",$B$1:$B$235,"&gt;0",$D$1:$D$235,"=PG",N$1:N$235,"=1")*(IF(Capa!$B$6="B",100,IF(Capa!$B$6=1,50,IF(Capa!$B$6=2,33,25))))+COUNTIFS($A$1:$A$235,"="&amp;$A78&amp;"?",$B$1:$B$235,"&gt;0",$D$1:$D$235,"=PG",N$1:N$235,"=2")*(IF(Capa!$B$6="B",100,IF(Capa!$B$6=1,100,IF(Capa!$B$6=2,67,50))))+COUNTIFS($A$1:$A$235,"="&amp;$A78&amp;"?",$B$1:$B$235,"&gt;0",$D$1:$D$235,"=PG",N$1:N$235,"=3")*(IF(Capa!$B$6="B",100,IF(Capa!$B$6=1,100,IF(Capa!$B$6=2,100,75))))+COUNTIFS($A$1:$A$235,"="&amp;$A78&amp;"?",$B$1:$B$235,"&gt;0",$D$1:$D$235,"=PG",N$1:N$235,"=4")*100)/(COUNTIFS($A$1:$A$235,"="&amp;$A78&amp;"?",$B$1:$B$235,"&gt;0",$D$1:$D$235,"=PG")*100)</f>
        <v>0</v>
      </c>
      <c r="O79" s="100">
        <f>(COUNTIFS($A$1:$A$235,"="&amp;$A78&amp;"?",$B$1:$B$235,"&gt;0",$D$1:$D$235,"=PG",O$1:O$235,"=1")*(IF(Capa!$B$6="B",100,IF(Capa!$B$6=1,50,IF(Capa!$B$6=2,33,25))))+COUNTIFS($A$1:$A$235,"="&amp;$A78&amp;"?",$B$1:$B$235,"&gt;0",$D$1:$D$235,"=PG",O$1:O$235,"=2")*(IF(Capa!$B$6="B",100,IF(Capa!$B$6=1,100,IF(Capa!$B$6=2,67,50))))+COUNTIFS($A$1:$A$235,"="&amp;$A78&amp;"?",$B$1:$B$235,"&gt;0",$D$1:$D$235,"=PG",O$1:O$235,"=3")*(IF(Capa!$B$6="B",100,IF(Capa!$B$6=1,100,IF(Capa!$B$6=2,100,75))))+COUNTIFS($A$1:$A$235,"="&amp;$A78&amp;"?",$B$1:$B$235,"&gt;0",$D$1:$D$235,"=PG",O$1:O$235,"=4")*100)/(COUNTIFS($A$1:$A$235,"="&amp;$A78&amp;"?",$B$1:$B$235,"&gt;0",$D$1:$D$235,"=PG")*100)</f>
        <v>0</v>
      </c>
      <c r="P79" s="414">
        <f>P82+P103</f>
        <v>0</v>
      </c>
      <c r="Q79" s="100">
        <f>(COUNTIFS($A$1:$A$235,"="&amp;$A78&amp;"?",$B$1:$B$235,"",$L$1:$L$235,"&gt;=0",Q$1:Q$235,"=1")*(IF(Capa!$B$6="B",100,IF(Capa!$B$6=1,50,IF(Capa!$B$6=2,33,25))))+COUNTIFS($A$1:$A$235,"="&amp;$A78&amp;"?",$B$1:$B$235,"",$L$1:$L$235,"&gt;=0",Q$1:Q$235,"=2")*(IF(Capa!$B$6="B",100,IF(Capa!$B$6=1,100,IF(Capa!$B$6=2,67,50))))+COUNTIFS($A$1:$A$235,"="&amp;$A78&amp;"?",$B$1:$B$235,"",$L$1:$L$235,"&gt;=0",Q$1:Q$235,"=3")*(IF(Capa!$B$6="B",100,IF(Capa!$B$6=1,100,IF(Capa!$B$6=2,100,75))))+COUNTIFS($A$1:$A$235,"="&amp;$A78&amp;"?",$B$1:$B$235,"",$L$1:$L$235,"&gt;=0",Q$1:Q$235,"=4")*100)/(COUNTIFS($A$1:$A$235,"="&amp;$A78&amp;"?",$B$1:$B$235,"",$L$1:$L$235,"&gt;=0")*100)</f>
        <v>0</v>
      </c>
      <c r="R79" s="100">
        <f>(COUNTIFS($A$1:$A$235,"="&amp;$A78&amp;"?",$B$1:$B$235,"&gt;0",$D$1:$D$235,"=PG",R$1:R$235,"=1")*(IF(Capa!$B$6="B",100,IF(Capa!$B$6=1,50,IF(Capa!$B$6=2,33,25))))+COUNTIFS($A$1:$A$235,"="&amp;$A78&amp;"?",$B$1:$B$235,"&gt;0",$D$1:$D$235,"=PG",R$1:R$235,"=2")*(IF(Capa!$B$6="B",100,IF(Capa!$B$6=1,100,IF(Capa!$B$6=2,67,50))))+COUNTIFS($A$1:$A$235,"="&amp;$A78&amp;"?",$B$1:$B$235,"&gt;0",$D$1:$D$235,"=PG",R$1:R$235,"=3")*(IF(Capa!$B$6="B",100,IF(Capa!$B$6=1,100,IF(Capa!$B$6=2,100,75))))+COUNTIFS($A$1:$A$235,"="&amp;$A78&amp;"?",$B$1:$B$235,"&gt;0",$D$1:$D$235,"=PG",R$1:R$235,"=4")*100)/(COUNTIFS($A$1:$A$235,"="&amp;$A78&amp;"?",$B$1:$B$235,"&gt;0",$D$1:$D$235,"=PG")*100)</f>
        <v>0</v>
      </c>
      <c r="S79" s="100">
        <f>(COUNTIFS($A$1:$A$235,"="&amp;$A78&amp;"?",$B$1:$B$235,"&gt;0",$D$1:$D$235,"=PG",S$1:S$235,"=1")*(IF(Capa!$B$6="B",100,IF(Capa!$B$6=1,50,IF(Capa!$B$6=2,33,25))))+COUNTIFS($A$1:$A$235,"="&amp;$A78&amp;"?",$B$1:$B$235,"&gt;0",$D$1:$D$235,"=PG",S$1:S$235,"=2")*(IF(Capa!$B$6="B",100,IF(Capa!$B$6=1,100,IF(Capa!$B$6=2,67,50))))+COUNTIFS($A$1:$A$235,"="&amp;$A78&amp;"?",$B$1:$B$235,"&gt;0",$D$1:$D$235,"=PG",S$1:S$235,"=3")*(IF(Capa!$B$6="B",100,IF(Capa!$B$6=1,100,IF(Capa!$B$6=2,100,75))))+COUNTIFS($A$1:$A$235,"="&amp;$A78&amp;"?",$B$1:$B$235,"&gt;0",$D$1:$D$235,"=PG",S$1:S$235,"=4")*100)/(COUNTIFS($A$1:$A$235,"="&amp;$A78&amp;"?",$B$1:$B$235,"&gt;0",$D$1:$D$235,"=PG")*100)</f>
        <v>0</v>
      </c>
      <c r="T79" s="414">
        <f>T82+T103</f>
        <v>0</v>
      </c>
      <c r="U79" s="100"/>
      <c r="V79" s="538"/>
      <c r="W79" s="478"/>
      <c r="X79" s="522"/>
      <c r="Y79" s="522"/>
      <c r="Z79" s="522"/>
      <c r="AA79" s="522"/>
      <c r="AB79" s="522"/>
    </row>
    <row r="80" spans="1:28" x14ac:dyDescent="0.25">
      <c r="A80" s="210" t="s">
        <v>491</v>
      </c>
      <c r="B80" s="7" t="str">
        <f>IF(  AND(ISNUMBER(C80),OR(ISNUMBER(D80),D80="PG")),IF(IF(Capa!$B$6="B",0,Capa!$B$6)&gt;=C80,1,0),"")</f>
        <v/>
      </c>
      <c r="C80" s="17" t="str">
        <f t="shared" si="10"/>
        <v/>
      </c>
      <c r="D80" s="15"/>
      <c r="E80" s="395" t="s">
        <v>492</v>
      </c>
      <c r="F80" s="517"/>
      <c r="G80" s="532"/>
      <c r="H80" s="219"/>
      <c r="I80" s="23"/>
      <c r="J80" s="219"/>
      <c r="K80" s="528"/>
      <c r="L80" s="383">
        <f>IF(AND($B82=1,D82="PG"),IF(COUNTIFS($A$1:$A$235,"="&amp;$A80,$B$1:$B$235,"&gt;0",$D$1:$D$235,"&gt;0")&gt;0,
        (COUNTIFS($A$1:$A$235,"="&amp;$A80,$B$1:$B$235,"&gt;0",$D$1:$D$235,"&gt;0",F$1:F$235,"=S",I$1:I$235,"") +
         (COUNTIFS($A$1:$A$235,"="&amp;$A80,$B$1:$B$235,"&gt;0",$D$1:$D$235,"&gt;0",$F$1:$F$235,"=P",I$1:I$235,"")/2) +
         COUNTIFS($A$1:$A$235,"="&amp;$A80,$B$1:$B$235,"&gt;0",$D$1:$D$235,"&gt;0",I$1:I$235,"=S") +
         (COUNTIFS($A$1:$A$235,"="&amp;$A80,$B$1:$B$235,"&gt;0",$D$1:$D$235,"&gt;0",I$1:I$235,"=P")/2)
         )/COUNTIFS($A$1:$A$235,"="&amp;$A80,$B$1:$B$235,"&gt;0",$D$1:$D$235,"&gt;0"),1),"")</f>
        <v>0</v>
      </c>
      <c r="M80" s="380"/>
      <c r="N80" s="70"/>
      <c r="O80" s="68"/>
      <c r="P80" s="68"/>
      <c r="Q80" s="83">
        <f>IF(L80="","",MIN(IF(ISBLANK(Q82),0,Q82),IF(L80&gt;0.9,4,IF(L80&gt;0.5,3,IF(L80&gt;0.3,2,IF(OR(L80&gt;0,Q82&gt;0),1,0))))))</f>
        <v>0</v>
      </c>
      <c r="R80" s="70"/>
      <c r="S80" s="260"/>
      <c r="T80" s="260"/>
      <c r="U80" s="260"/>
      <c r="V80" s="537"/>
      <c r="W80" s="66"/>
      <c r="X80" s="579"/>
      <c r="Y80" s="579"/>
      <c r="Z80" s="579"/>
      <c r="AA80" s="579"/>
      <c r="AB80" s="579"/>
    </row>
    <row r="81" spans="1:28" ht="7.35" customHeight="1" x14ac:dyDescent="0.25">
      <c r="A81" s="210" t="s">
        <v>491</v>
      </c>
      <c r="B81" s="7" t="str">
        <f>IF(  AND(ISNUMBER(C81),OR(ISNUMBER(D81),D81="PG")),IF(IF(Capa!$B$6="B",0,Capa!$B$6)&gt;=C81,1,0),"")</f>
        <v/>
      </c>
      <c r="C81" s="17">
        <f t="shared" si="10"/>
        <v>0</v>
      </c>
      <c r="D81" s="5" t="s">
        <v>53</v>
      </c>
      <c r="E81" s="391"/>
      <c r="F81" s="554"/>
      <c r="G81" s="572"/>
      <c r="H81" s="239"/>
      <c r="I81" s="26"/>
      <c r="J81" s="239"/>
      <c r="K81" s="569"/>
      <c r="L81" s="242"/>
      <c r="M81" s="59"/>
      <c r="N81" s="59"/>
      <c r="O81" s="59"/>
      <c r="P81" s="59"/>
      <c r="Q81" s="59"/>
      <c r="R81" s="59"/>
      <c r="S81" s="262"/>
      <c r="T81" s="262"/>
      <c r="U81" s="355"/>
      <c r="V81" s="538"/>
      <c r="W81" s="478"/>
      <c r="X81" s="522"/>
      <c r="Y81" s="522"/>
      <c r="Z81" s="522"/>
      <c r="AA81" s="522"/>
      <c r="AB81" s="522"/>
    </row>
    <row r="82" spans="1:28" ht="133.35" customHeight="1" x14ac:dyDescent="0.25">
      <c r="A82" s="646" t="s">
        <v>491</v>
      </c>
      <c r="B82" s="7">
        <f>IF(  AND(ISNUMBER(C82),OR(ISNUMBER(D82),D82="PG")),IF(IF(Capa!$B$6="B",0,Capa!$B$6)&gt;=C82,1,0),"")</f>
        <v>1</v>
      </c>
      <c r="C82" s="17">
        <f t="shared" si="10"/>
        <v>0</v>
      </c>
      <c r="D82" s="647" t="s">
        <v>54</v>
      </c>
      <c r="E82" s="389" t="s">
        <v>493</v>
      </c>
      <c r="F82" s="513"/>
      <c r="G82" s="468"/>
      <c r="H82" s="241"/>
      <c r="I82" s="29"/>
      <c r="J82" s="239"/>
      <c r="K82" s="471"/>
      <c r="L82" s="697" t="str">
        <f>IF(OR(AND(NOT(ISBLANK(M82)),M82&lt;IF(Capa!$B$6&lt;&gt;"B",Capa!$B$6+1,1)),AND(NOT(ISBLANK(N82)),N82&lt;IF(Capa!$B$6&lt;&gt;"B",Capa!$B$6+1,1)),AND(NOT(ISBLANK(O82)),O82&lt;IF(Capa!$B$6&lt;&gt;"B",Capa!$B$6+1,1)),AND(NOT(ISBLANK(Q82)),Q82&lt;IF(Capa!$B$6&lt;&gt;"B",Capa!$B$6+1,1)),AND(NOT(ISBLANK(R82)),R82&lt;IF(Capa!$B$6&lt;&gt;"B",Capa!$B$6+1,1)),AND(NOT(ISBLANK(S82)),S82&lt;IF(Capa!$B$6&lt;&gt;"B",Capa!$B$6+1,1))),1,"")</f>
        <v/>
      </c>
      <c r="M82" s="81"/>
      <c r="N82" s="81"/>
      <c r="O82" s="81"/>
      <c r="P82" s="81"/>
      <c r="Q82" s="81"/>
      <c r="R82" s="81"/>
      <c r="S82" s="81"/>
      <c r="T82" s="81"/>
      <c r="U82" s="58"/>
      <c r="V82" s="464"/>
      <c r="W82" s="476"/>
      <c r="X82" s="666"/>
      <c r="Y82" s="522"/>
      <c r="Z82" s="522"/>
      <c r="AA82" s="522"/>
      <c r="AB82" s="522"/>
    </row>
    <row r="83" spans="1:28" ht="30" x14ac:dyDescent="0.25">
      <c r="A83" s="646" t="s">
        <v>491</v>
      </c>
      <c r="B83" s="7">
        <f>IF(  AND(ISNUMBER(C83),OR(ISNUMBER(D83),D83="PG")),IF(IF(Capa!$B$6="B",0,Capa!$B$6)&gt;=C83,1,0),"")</f>
        <v>1</v>
      </c>
      <c r="C83" s="17">
        <f t="shared" si="10"/>
        <v>0</v>
      </c>
      <c r="D83" s="647">
        <v>301</v>
      </c>
      <c r="E83" s="352" t="s">
        <v>494</v>
      </c>
      <c r="F83" s="513"/>
      <c r="G83" s="468"/>
      <c r="H83" s="241"/>
      <c r="I83" s="29"/>
      <c r="J83" s="425">
        <f t="shared" ref="J83:J99" si="11">LEN(K83)</f>
        <v>0</v>
      </c>
      <c r="K83" s="471"/>
      <c r="L83" s="697" t="str">
        <f t="shared" ref="L83:L99" si="12">IF(OR(I83="N",I83="P"),1,"")</f>
        <v/>
      </c>
      <c r="M83" s="719"/>
      <c r="N83" s="720"/>
      <c r="O83" s="720"/>
      <c r="P83" s="720"/>
      <c r="Q83" s="720"/>
      <c r="R83" s="720"/>
      <c r="S83" s="720"/>
      <c r="T83" s="721"/>
      <c r="U83" s="71"/>
      <c r="V83" s="464"/>
      <c r="W83" s="476"/>
      <c r="X83" s="666"/>
      <c r="Y83" s="522"/>
      <c r="Z83" s="522"/>
      <c r="AA83" s="522"/>
      <c r="AB83" s="522"/>
    </row>
    <row r="84" spans="1:28" ht="30" x14ac:dyDescent="0.25">
      <c r="A84" s="646" t="s">
        <v>491</v>
      </c>
      <c r="B84" s="7">
        <f>IF(  AND(ISNUMBER(C84),OR(ISNUMBER(D84),D84="PG")),IF(IF(Capa!$B$6="B",0,Capa!$B$6)&gt;=C84,1,0),"")</f>
        <v>1</v>
      </c>
      <c r="C84" s="17">
        <f t="shared" si="10"/>
        <v>0</v>
      </c>
      <c r="D84" s="647">
        <v>302</v>
      </c>
      <c r="E84" s="352" t="s">
        <v>495</v>
      </c>
      <c r="F84" s="513"/>
      <c r="G84" s="468"/>
      <c r="H84" s="241"/>
      <c r="I84" s="29"/>
      <c r="J84" s="425">
        <f t="shared" si="11"/>
        <v>0</v>
      </c>
      <c r="K84" s="471"/>
      <c r="L84" s="697" t="str">
        <f t="shared" si="12"/>
        <v/>
      </c>
      <c r="M84" s="719"/>
      <c r="N84" s="720"/>
      <c r="O84" s="720"/>
      <c r="P84" s="720"/>
      <c r="Q84" s="720"/>
      <c r="R84" s="720"/>
      <c r="S84" s="720"/>
      <c r="T84" s="721"/>
      <c r="U84" s="71"/>
      <c r="V84" s="464"/>
      <c r="W84" s="476"/>
      <c r="X84" s="666"/>
      <c r="Y84" s="522"/>
      <c r="Z84" s="522"/>
      <c r="AA84" s="522"/>
      <c r="AB84" s="522"/>
    </row>
    <row r="85" spans="1:28" ht="60" x14ac:dyDescent="0.25">
      <c r="A85" s="646" t="s">
        <v>491</v>
      </c>
      <c r="B85" s="7">
        <f>IF(  AND(ISNUMBER(C85),OR(ISNUMBER(D85),D85="PG")),IF(IF(Capa!$B$6="B",0,Capa!$B$6)&gt;=C85,1,0),"")</f>
        <v>1</v>
      </c>
      <c r="C85" s="17">
        <f t="shared" si="10"/>
        <v>0</v>
      </c>
      <c r="D85" s="647">
        <v>303</v>
      </c>
      <c r="E85" s="352" t="s">
        <v>496</v>
      </c>
      <c r="F85" s="513"/>
      <c r="G85" s="468"/>
      <c r="H85" s="241"/>
      <c r="I85" s="29"/>
      <c r="J85" s="425">
        <f t="shared" si="11"/>
        <v>0</v>
      </c>
      <c r="K85" s="471"/>
      <c r="L85" s="697" t="str">
        <f t="shared" si="12"/>
        <v/>
      </c>
      <c r="M85" s="719"/>
      <c r="N85" s="720"/>
      <c r="O85" s="720"/>
      <c r="P85" s="720"/>
      <c r="Q85" s="720"/>
      <c r="R85" s="720"/>
      <c r="S85" s="720"/>
      <c r="T85" s="721"/>
      <c r="U85" s="71"/>
      <c r="V85" s="464"/>
      <c r="W85" s="476"/>
      <c r="X85" s="666"/>
      <c r="Y85" s="522"/>
      <c r="Z85" s="522"/>
      <c r="AA85" s="522"/>
      <c r="AB85" s="522"/>
    </row>
    <row r="86" spans="1:28" ht="45" x14ac:dyDescent="0.25">
      <c r="A86" s="646" t="s">
        <v>491</v>
      </c>
      <c r="B86" s="7">
        <f>IF(  AND(ISNUMBER(C86),OR(ISNUMBER(D86),D86="PG")),IF(IF(Capa!$B$6="B",0,Capa!$B$6)&gt;=C86,1,0),"")</f>
        <v>1</v>
      </c>
      <c r="C86" s="17">
        <f t="shared" si="10"/>
        <v>0</v>
      </c>
      <c r="D86" s="647">
        <v>304</v>
      </c>
      <c r="E86" s="352" t="s">
        <v>497</v>
      </c>
      <c r="F86" s="513"/>
      <c r="G86" s="468"/>
      <c r="H86" s="241"/>
      <c r="I86" s="29"/>
      <c r="J86" s="425">
        <f t="shared" si="11"/>
        <v>0</v>
      </c>
      <c r="K86" s="471"/>
      <c r="L86" s="697" t="str">
        <f t="shared" si="12"/>
        <v/>
      </c>
      <c r="M86" s="719"/>
      <c r="N86" s="720"/>
      <c r="O86" s="720"/>
      <c r="P86" s="720"/>
      <c r="Q86" s="720"/>
      <c r="R86" s="720"/>
      <c r="S86" s="720"/>
      <c r="T86" s="721"/>
      <c r="U86" s="71"/>
      <c r="V86" s="464"/>
      <c r="W86" s="476"/>
      <c r="X86" s="522"/>
      <c r="Y86" s="522"/>
      <c r="Z86" s="522"/>
      <c r="AA86" s="522"/>
      <c r="AB86" s="522"/>
    </row>
    <row r="87" spans="1:28" ht="75" x14ac:dyDescent="0.25">
      <c r="A87" s="646" t="s">
        <v>491</v>
      </c>
      <c r="B87" s="7">
        <f>IF(  AND(ISNUMBER(C87),OR(ISNUMBER(D87),D87="PG")),IF(IF(Capa!$B$6="B",0,Capa!$B$6)&gt;=C87,1,0),"")</f>
        <v>1</v>
      </c>
      <c r="C87" s="17">
        <f t="shared" si="10"/>
        <v>0</v>
      </c>
      <c r="D87" s="647">
        <v>305</v>
      </c>
      <c r="E87" s="352" t="s">
        <v>498</v>
      </c>
      <c r="F87" s="513"/>
      <c r="G87" s="468"/>
      <c r="H87" s="241"/>
      <c r="I87" s="29"/>
      <c r="J87" s="425">
        <f t="shared" si="11"/>
        <v>0</v>
      </c>
      <c r="K87" s="471"/>
      <c r="L87" s="697" t="str">
        <f t="shared" si="12"/>
        <v/>
      </c>
      <c r="M87" s="719"/>
      <c r="N87" s="720"/>
      <c r="O87" s="720"/>
      <c r="P87" s="720"/>
      <c r="Q87" s="720"/>
      <c r="R87" s="720"/>
      <c r="S87" s="720"/>
      <c r="T87" s="721"/>
      <c r="U87" s="71"/>
      <c r="V87" s="464"/>
      <c r="W87" s="476"/>
      <c r="X87" s="522"/>
      <c r="Y87" s="522"/>
      <c r="Z87" s="522"/>
      <c r="AA87" s="522"/>
      <c r="AB87" s="522"/>
    </row>
    <row r="88" spans="1:28" ht="6.6" customHeight="1" x14ac:dyDescent="0.25">
      <c r="A88" s="646" t="s">
        <v>491</v>
      </c>
      <c r="B88" s="7" t="str">
        <f>IF(  AND(ISNUMBER(C88),OR(ISNUMBER(D88),D88="PG")),IF(IF(Capa!$B$6="B",0,Capa!$B$6)&gt;=C88,1,0),"")</f>
        <v/>
      </c>
      <c r="C88" s="17">
        <f t="shared" si="10"/>
        <v>1</v>
      </c>
      <c r="D88" s="647" t="s">
        <v>62</v>
      </c>
      <c r="E88" s="352"/>
      <c r="F88" s="513"/>
      <c r="G88" s="468"/>
      <c r="H88" s="241"/>
      <c r="I88" s="29"/>
      <c r="J88" s="425">
        <f t="shared" si="11"/>
        <v>0</v>
      </c>
      <c r="K88" s="471"/>
      <c r="L88" s="697" t="str">
        <f t="shared" si="12"/>
        <v/>
      </c>
      <c r="M88" s="719"/>
      <c r="N88" s="720"/>
      <c r="O88" s="720"/>
      <c r="P88" s="720"/>
      <c r="Q88" s="720"/>
      <c r="R88" s="720"/>
      <c r="S88" s="720"/>
      <c r="T88" s="721"/>
      <c r="U88" s="71"/>
      <c r="V88" s="464"/>
      <c r="W88" s="476"/>
      <c r="X88" s="522"/>
      <c r="Y88" s="522"/>
      <c r="Z88" s="522"/>
      <c r="AA88" s="522"/>
      <c r="AB88" s="522"/>
    </row>
    <row r="89" spans="1:28" ht="48.6" customHeight="1" x14ac:dyDescent="0.25">
      <c r="A89" s="646" t="s">
        <v>491</v>
      </c>
      <c r="B89" s="7">
        <f>IF(  AND(ISNUMBER(C89),OR(ISNUMBER(D89),D89="PG")),IF(IF(Capa!$B$6="B",0,Capa!$B$6)&gt;=C89,1,0),"")</f>
        <v>0</v>
      </c>
      <c r="C89" s="17">
        <f t="shared" si="10"/>
        <v>1</v>
      </c>
      <c r="D89" s="647">
        <v>306</v>
      </c>
      <c r="E89" s="352" t="s">
        <v>499</v>
      </c>
      <c r="F89" s="513"/>
      <c r="G89" s="468"/>
      <c r="H89" s="241"/>
      <c r="I89" s="29"/>
      <c r="J89" s="425">
        <f t="shared" si="11"/>
        <v>0</v>
      </c>
      <c r="K89" s="471"/>
      <c r="L89" s="697" t="str">
        <f t="shared" si="12"/>
        <v/>
      </c>
      <c r="M89" s="719"/>
      <c r="N89" s="720"/>
      <c r="O89" s="720"/>
      <c r="P89" s="720"/>
      <c r="Q89" s="720"/>
      <c r="R89" s="720"/>
      <c r="S89" s="720"/>
      <c r="T89" s="721"/>
      <c r="U89" s="71"/>
      <c r="V89" s="464"/>
      <c r="W89" s="476"/>
      <c r="X89" s="522"/>
      <c r="Y89" s="522"/>
      <c r="Z89" s="522"/>
      <c r="AA89" s="522"/>
      <c r="AB89" s="522"/>
    </row>
    <row r="90" spans="1:28" ht="60" x14ac:dyDescent="0.25">
      <c r="A90" s="646" t="s">
        <v>491</v>
      </c>
      <c r="B90" s="7">
        <f>IF(  AND(ISNUMBER(C90),OR(ISNUMBER(D90),D90="PG")),IF(IF(Capa!$B$6="B",0,Capa!$B$6)&gt;=C90,1,0),"")</f>
        <v>0</v>
      </c>
      <c r="C90" s="17">
        <f t="shared" si="10"/>
        <v>1</v>
      </c>
      <c r="D90" s="647">
        <v>307</v>
      </c>
      <c r="E90" s="352" t="s">
        <v>500</v>
      </c>
      <c r="F90" s="513"/>
      <c r="G90" s="468"/>
      <c r="H90" s="241"/>
      <c r="I90" s="29"/>
      <c r="J90" s="425">
        <f t="shared" si="11"/>
        <v>0</v>
      </c>
      <c r="K90" s="471"/>
      <c r="L90" s="697" t="str">
        <f t="shared" si="12"/>
        <v/>
      </c>
      <c r="M90" s="719"/>
      <c r="N90" s="720"/>
      <c r="O90" s="720"/>
      <c r="P90" s="720"/>
      <c r="Q90" s="720"/>
      <c r="R90" s="720"/>
      <c r="S90" s="720"/>
      <c r="T90" s="721"/>
      <c r="U90" s="71"/>
      <c r="V90" s="464"/>
      <c r="W90" s="476"/>
      <c r="X90" s="522"/>
      <c r="Y90" s="522"/>
      <c r="Z90" s="522"/>
      <c r="AA90" s="522"/>
      <c r="AB90" s="522"/>
    </row>
    <row r="91" spans="1:28" ht="6" customHeight="1" x14ac:dyDescent="0.25">
      <c r="A91" s="646" t="s">
        <v>491</v>
      </c>
      <c r="B91" s="7" t="str">
        <f>IF(  AND(ISNUMBER(C91),OR(ISNUMBER(D91),D91="PG")),IF(IF(Capa!$B$6="B",0,Capa!$B$6)&gt;=C91,1,0),"")</f>
        <v/>
      </c>
      <c r="C91" s="17">
        <f t="shared" si="10"/>
        <v>2</v>
      </c>
      <c r="D91" s="647" t="s">
        <v>64</v>
      </c>
      <c r="E91" s="352"/>
      <c r="F91" s="513"/>
      <c r="G91" s="468"/>
      <c r="H91" s="241"/>
      <c r="I91" s="29"/>
      <c r="J91" s="425">
        <f t="shared" si="11"/>
        <v>0</v>
      </c>
      <c r="K91" s="471"/>
      <c r="L91" s="697" t="str">
        <f t="shared" si="12"/>
        <v/>
      </c>
      <c r="M91" s="719"/>
      <c r="N91" s="720"/>
      <c r="O91" s="720"/>
      <c r="P91" s="720"/>
      <c r="Q91" s="720"/>
      <c r="R91" s="720"/>
      <c r="S91" s="720"/>
      <c r="T91" s="721"/>
      <c r="U91" s="71"/>
      <c r="V91" s="464"/>
      <c r="W91" s="476"/>
      <c r="X91" s="522"/>
      <c r="Y91" s="522"/>
      <c r="Z91" s="522"/>
      <c r="AA91" s="522"/>
      <c r="AB91" s="522"/>
    </row>
    <row r="92" spans="1:28" ht="63" customHeight="1" x14ac:dyDescent="0.25">
      <c r="A92" s="646" t="s">
        <v>491</v>
      </c>
      <c r="B92" s="7">
        <f>IF(  AND(ISNUMBER(C92),OR(ISNUMBER(D92),D92="PG")),IF(IF(Capa!$B$6="B",0,Capa!$B$6)&gt;=C92,1,0),"")</f>
        <v>0</v>
      </c>
      <c r="C92" s="17">
        <f t="shared" si="10"/>
        <v>2</v>
      </c>
      <c r="D92" s="647">
        <v>308</v>
      </c>
      <c r="E92" s="352" t="s">
        <v>501</v>
      </c>
      <c r="F92" s="513"/>
      <c r="G92" s="468"/>
      <c r="H92" s="241"/>
      <c r="I92" s="29"/>
      <c r="J92" s="425">
        <f t="shared" si="11"/>
        <v>0</v>
      </c>
      <c r="K92" s="471"/>
      <c r="L92" s="697" t="str">
        <f t="shared" si="12"/>
        <v/>
      </c>
      <c r="M92" s="719"/>
      <c r="N92" s="720"/>
      <c r="O92" s="720"/>
      <c r="P92" s="720"/>
      <c r="Q92" s="720"/>
      <c r="R92" s="720"/>
      <c r="S92" s="720"/>
      <c r="T92" s="721"/>
      <c r="U92" s="71"/>
      <c r="V92" s="464"/>
      <c r="W92" s="476"/>
      <c r="X92" s="522"/>
      <c r="Y92" s="522"/>
      <c r="Z92" s="522"/>
      <c r="AA92" s="522"/>
      <c r="AB92" s="522"/>
    </row>
    <row r="93" spans="1:28" ht="60" x14ac:dyDescent="0.25">
      <c r="A93" s="646" t="s">
        <v>491</v>
      </c>
      <c r="B93" s="7">
        <f>IF(  AND(ISNUMBER(C93),OR(ISNUMBER(D93),D93="PG")),IF(IF(Capa!$B$6="B",0,Capa!$B$6)&gt;=C93,1,0),"")</f>
        <v>0</v>
      </c>
      <c r="C93" s="17">
        <f t="shared" si="10"/>
        <v>2</v>
      </c>
      <c r="D93" s="647">
        <v>309</v>
      </c>
      <c r="E93" s="352" t="s">
        <v>502</v>
      </c>
      <c r="F93" s="513"/>
      <c r="G93" s="468"/>
      <c r="H93" s="241"/>
      <c r="I93" s="29"/>
      <c r="J93" s="425">
        <f t="shared" si="11"/>
        <v>0</v>
      </c>
      <c r="K93" s="471"/>
      <c r="L93" s="697" t="str">
        <f t="shared" si="12"/>
        <v/>
      </c>
      <c r="M93" s="719"/>
      <c r="N93" s="720"/>
      <c r="O93" s="720"/>
      <c r="P93" s="720"/>
      <c r="Q93" s="720"/>
      <c r="R93" s="720"/>
      <c r="S93" s="720"/>
      <c r="T93" s="721"/>
      <c r="U93" s="71"/>
      <c r="V93" s="464"/>
      <c r="W93" s="476"/>
      <c r="X93" s="522"/>
      <c r="Y93" s="522"/>
      <c r="Z93" s="522"/>
      <c r="AA93" s="522"/>
      <c r="AB93" s="522"/>
    </row>
    <row r="94" spans="1:28" ht="60" x14ac:dyDescent="0.25">
      <c r="A94" s="646" t="s">
        <v>491</v>
      </c>
      <c r="B94" s="7">
        <f>IF(  AND(ISNUMBER(C94),OR(ISNUMBER(D94),D94="PG")),IF(IF(Capa!$B$6="B",0,Capa!$B$6)&gt;=C94,1,0),"")</f>
        <v>0</v>
      </c>
      <c r="C94" s="17">
        <f t="shared" si="10"/>
        <v>2</v>
      </c>
      <c r="D94" s="647">
        <v>310</v>
      </c>
      <c r="E94" s="352" t="s">
        <v>503</v>
      </c>
      <c r="F94" s="513"/>
      <c r="G94" s="468"/>
      <c r="H94" s="241"/>
      <c r="I94" s="29"/>
      <c r="J94" s="425">
        <f t="shared" si="11"/>
        <v>0</v>
      </c>
      <c r="K94" s="471"/>
      <c r="L94" s="697" t="str">
        <f t="shared" si="12"/>
        <v/>
      </c>
      <c r="M94" s="719"/>
      <c r="N94" s="720"/>
      <c r="O94" s="720"/>
      <c r="P94" s="720"/>
      <c r="Q94" s="720"/>
      <c r="R94" s="720"/>
      <c r="S94" s="720"/>
      <c r="T94" s="721"/>
      <c r="U94" s="71"/>
      <c r="V94" s="464"/>
      <c r="W94" s="476"/>
      <c r="X94" s="522"/>
      <c r="Y94" s="522"/>
      <c r="Z94" s="522"/>
      <c r="AA94" s="522"/>
      <c r="AB94" s="522"/>
    </row>
    <row r="95" spans="1:28" ht="75" x14ac:dyDescent="0.25">
      <c r="A95" s="646" t="s">
        <v>491</v>
      </c>
      <c r="B95" s="7">
        <f>IF(  AND(ISNUMBER(C95),OR(ISNUMBER(D95),D95="PG")),IF(IF(Capa!$B$6="B",0,Capa!$B$6)&gt;=C95,1,0),"")</f>
        <v>0</v>
      </c>
      <c r="C95" s="17">
        <f t="shared" si="10"/>
        <v>2</v>
      </c>
      <c r="D95" s="647">
        <v>311</v>
      </c>
      <c r="E95" s="352" t="s">
        <v>504</v>
      </c>
      <c r="F95" s="513"/>
      <c r="G95" s="468"/>
      <c r="H95" s="241"/>
      <c r="I95" s="29"/>
      <c r="J95" s="425">
        <f t="shared" si="11"/>
        <v>0</v>
      </c>
      <c r="K95" s="471"/>
      <c r="L95" s="697" t="str">
        <f t="shared" si="12"/>
        <v/>
      </c>
      <c r="M95" s="719"/>
      <c r="N95" s="720"/>
      <c r="O95" s="720"/>
      <c r="P95" s="720"/>
      <c r="Q95" s="720"/>
      <c r="R95" s="720"/>
      <c r="S95" s="720"/>
      <c r="T95" s="721"/>
      <c r="U95" s="71"/>
      <c r="V95" s="464"/>
      <c r="W95" s="476"/>
      <c r="X95" s="522"/>
      <c r="Y95" s="522"/>
      <c r="Z95" s="522"/>
      <c r="AA95" s="522"/>
      <c r="AB95" s="522"/>
    </row>
    <row r="96" spans="1:28" ht="7.35" customHeight="1" x14ac:dyDescent="0.25">
      <c r="A96" s="646" t="s">
        <v>491</v>
      </c>
      <c r="B96" s="7" t="str">
        <f>IF(  AND(ISNUMBER(C96),OR(ISNUMBER(D96),D96="PG")),IF(IF(Capa!$B$6="B",0,Capa!$B$6)&gt;=C96,1,0),"")</f>
        <v/>
      </c>
      <c r="C96" s="17">
        <f t="shared" si="10"/>
        <v>3</v>
      </c>
      <c r="D96" s="647" t="s">
        <v>70</v>
      </c>
      <c r="E96" s="352"/>
      <c r="F96" s="513"/>
      <c r="G96" s="468"/>
      <c r="H96" s="241"/>
      <c r="I96" s="29"/>
      <c r="J96" s="425">
        <f t="shared" si="11"/>
        <v>0</v>
      </c>
      <c r="K96" s="471"/>
      <c r="L96" s="697" t="str">
        <f t="shared" si="12"/>
        <v/>
      </c>
      <c r="M96" s="719"/>
      <c r="N96" s="720"/>
      <c r="O96" s="720"/>
      <c r="P96" s="720"/>
      <c r="Q96" s="720"/>
      <c r="R96" s="720"/>
      <c r="S96" s="720"/>
      <c r="T96" s="721"/>
      <c r="U96" s="71"/>
      <c r="V96" s="464"/>
      <c r="W96" s="476"/>
      <c r="X96" s="522"/>
      <c r="Y96" s="522"/>
      <c r="Z96" s="522"/>
      <c r="AA96" s="522"/>
      <c r="AB96" s="522"/>
    </row>
    <row r="97" spans="1:28" ht="37.9" customHeight="1" x14ac:dyDescent="0.25">
      <c r="A97" s="646" t="s">
        <v>491</v>
      </c>
      <c r="B97" s="7">
        <f>IF(  AND(ISNUMBER(C97),OR(ISNUMBER(D97),D97="PG")),IF(IF(Capa!$B$6="B",0,Capa!$B$6)&gt;=C97,1,0),"")</f>
        <v>0</v>
      </c>
      <c r="C97" s="17">
        <f t="shared" si="10"/>
        <v>3</v>
      </c>
      <c r="D97" s="647">
        <v>312</v>
      </c>
      <c r="E97" s="398" t="s">
        <v>505</v>
      </c>
      <c r="F97" s="513"/>
      <c r="G97" s="468"/>
      <c r="H97" s="241"/>
      <c r="I97" s="29"/>
      <c r="J97" s="425">
        <f t="shared" si="11"/>
        <v>0</v>
      </c>
      <c r="K97" s="471"/>
      <c r="L97" s="697" t="str">
        <f t="shared" si="12"/>
        <v/>
      </c>
      <c r="M97" s="719"/>
      <c r="N97" s="720"/>
      <c r="O97" s="720"/>
      <c r="P97" s="720"/>
      <c r="Q97" s="720"/>
      <c r="R97" s="720"/>
      <c r="S97" s="720"/>
      <c r="T97" s="721"/>
      <c r="U97" s="71"/>
      <c r="V97" s="464"/>
      <c r="W97" s="476"/>
      <c r="X97" s="522"/>
      <c r="Y97" s="522"/>
      <c r="Z97" s="522"/>
      <c r="AA97" s="522"/>
      <c r="AB97" s="522"/>
    </row>
    <row r="98" spans="1:28" ht="105" customHeight="1" x14ac:dyDescent="0.25">
      <c r="A98" s="646" t="s">
        <v>491</v>
      </c>
      <c r="B98" s="7">
        <f>IF(  AND(ISNUMBER(C98),OR(ISNUMBER(D98),D98="PG")),IF(IF(Capa!$B$6="B",0,Capa!$B$6)&gt;=C98,1,0),"")</f>
        <v>0</v>
      </c>
      <c r="C98" s="17">
        <f t="shared" si="10"/>
        <v>3</v>
      </c>
      <c r="D98" s="647">
        <v>313</v>
      </c>
      <c r="E98" s="352" t="s">
        <v>506</v>
      </c>
      <c r="F98" s="513"/>
      <c r="G98" s="468"/>
      <c r="H98" s="241"/>
      <c r="I98" s="29"/>
      <c r="J98" s="425">
        <f t="shared" si="11"/>
        <v>0</v>
      </c>
      <c r="K98" s="471"/>
      <c r="L98" s="697" t="str">
        <f t="shared" si="12"/>
        <v/>
      </c>
      <c r="M98" s="719"/>
      <c r="N98" s="720"/>
      <c r="O98" s="720"/>
      <c r="P98" s="720"/>
      <c r="Q98" s="720"/>
      <c r="R98" s="720"/>
      <c r="S98" s="720"/>
      <c r="T98" s="721"/>
      <c r="U98" s="71"/>
      <c r="V98" s="464"/>
      <c r="W98" s="476"/>
      <c r="X98" s="522"/>
      <c r="Y98" s="522"/>
      <c r="Z98" s="522"/>
      <c r="AA98" s="522"/>
      <c r="AB98" s="522"/>
    </row>
    <row r="99" spans="1:28" ht="45" x14ac:dyDescent="0.25">
      <c r="A99" s="646" t="s">
        <v>491</v>
      </c>
      <c r="B99" s="7">
        <f>IF(  AND(ISNUMBER(C99),OR(ISNUMBER(D99),D99="PG")),IF(IF(Capa!$B$6="B",0,Capa!$B$6)&gt;=C99,1,0),"")</f>
        <v>0</v>
      </c>
      <c r="C99" s="17">
        <f t="shared" si="10"/>
        <v>3</v>
      </c>
      <c r="D99" s="647">
        <v>314</v>
      </c>
      <c r="E99" s="411" t="s">
        <v>507</v>
      </c>
      <c r="F99" s="513"/>
      <c r="G99" s="468"/>
      <c r="H99" s="241"/>
      <c r="I99" s="29"/>
      <c r="J99" s="425">
        <f t="shared" si="11"/>
        <v>0</v>
      </c>
      <c r="K99" s="471"/>
      <c r="L99" s="697" t="str">
        <f t="shared" si="12"/>
        <v/>
      </c>
      <c r="M99" s="719"/>
      <c r="N99" s="720"/>
      <c r="O99" s="720"/>
      <c r="P99" s="720"/>
      <c r="Q99" s="720"/>
      <c r="R99" s="720"/>
      <c r="S99" s="720"/>
      <c r="T99" s="721"/>
      <c r="U99" s="71"/>
      <c r="V99" s="464"/>
      <c r="W99" s="476"/>
      <c r="X99" s="522"/>
      <c r="Y99" s="522"/>
      <c r="Z99" s="522"/>
      <c r="AA99" s="522"/>
      <c r="AB99" s="522"/>
    </row>
    <row r="100" spans="1:28" ht="9" customHeight="1" x14ac:dyDescent="0.25">
      <c r="B100" s="7" t="str">
        <f>IF(  AND(ISNUMBER(C100),OR(ISNUMBER(D100),D100="PG")),IF(IF(Capa!$B$6="B",0,Capa!$B$6)&gt;=C100,1,0),"")</f>
        <v/>
      </c>
      <c r="C100" s="17" t="str">
        <f t="shared" si="10"/>
        <v/>
      </c>
      <c r="D100" s="122"/>
      <c r="E100" s="291"/>
      <c r="F100" s="123"/>
      <c r="G100" s="227"/>
      <c r="H100" s="227"/>
      <c r="I100" s="123"/>
      <c r="J100" s="227"/>
      <c r="K100" s="694"/>
      <c r="L100" s="227"/>
      <c r="M100" s="124"/>
      <c r="N100" s="124"/>
      <c r="O100" s="124"/>
      <c r="P100" s="124"/>
      <c r="Q100" s="124"/>
      <c r="R100" s="124"/>
      <c r="S100" s="251"/>
      <c r="T100" s="251"/>
      <c r="U100" s="260"/>
      <c r="V100" s="543"/>
      <c r="W100" s="125"/>
      <c r="X100" s="522"/>
      <c r="Y100" s="522"/>
      <c r="Z100" s="522"/>
      <c r="AA100" s="522"/>
      <c r="AB100" s="522"/>
    </row>
    <row r="101" spans="1:28" x14ac:dyDescent="0.25">
      <c r="A101" s="210" t="s">
        <v>508</v>
      </c>
      <c r="B101" s="7" t="str">
        <f>IF(  AND(ISNUMBER(C101),OR(ISNUMBER(D101),D101="PG")),IF(IF(Capa!$B$6="B",0,Capa!$B$6)&gt;=C101,1,0),"")</f>
        <v/>
      </c>
      <c r="C101" s="17" t="str">
        <f t="shared" si="10"/>
        <v/>
      </c>
      <c r="D101" s="15"/>
      <c r="E101" s="395" t="s">
        <v>509</v>
      </c>
      <c r="F101" s="517"/>
      <c r="G101" s="532"/>
      <c r="H101" s="219"/>
      <c r="I101" s="23"/>
      <c r="J101" s="219"/>
      <c r="K101" s="528"/>
      <c r="L101" s="383">
        <f>IF(AND($B103=1,D103="PG"),IF(COUNTIFS($A$1:$A$235,"="&amp;$A101,$B$1:$B$235,"&gt;0",$D$1:$D$235,"&gt;0")&gt;0,
        (COUNTIFS($A$1:$A$235,"="&amp;$A101,$B$1:$B$235,"&gt;0",$D$1:$D$235,"&gt;0",F$1:F$235,"=S",I$1:I$235,"") +
         (COUNTIFS($A$1:$A$235,"="&amp;$A101,$B$1:$B$235,"&gt;0",$D$1:$D$235,"&gt;0",$F$1:$F$235,"=P",I$1:I$235,"")/2) +
         COUNTIFS($A$1:$A$235,"="&amp;$A101,$B$1:$B$235,"&gt;0",$D$1:$D$235,"&gt;0",I$1:I$235,"=S") +
         (COUNTIFS($A$1:$A$235,"="&amp;$A101,$B$1:$B$235,"&gt;0",$D$1:$D$235,"&gt;0",I$1:I$235,"=P")/2)
         )/COUNTIFS($A$1:$A$235,"="&amp;$A101,$B$1:$B$235,"&gt;0",$D$1:$D$235,"&gt;0"),1),"")</f>
        <v>0</v>
      </c>
      <c r="M101" s="380"/>
      <c r="N101" s="70"/>
      <c r="O101" s="68"/>
      <c r="P101" s="68"/>
      <c r="Q101" s="83">
        <f>IF(L101="","",MIN(IF(ISBLANK(Q103),0,Q103),IF(L101&gt;0.9,4,IF(L101&gt;0.5,3,IF(L101&gt;0.3,2,IF(OR(L101&gt;0,Q103&gt;0),1,0))))))</f>
        <v>0</v>
      </c>
      <c r="R101" s="70"/>
      <c r="S101" s="260"/>
      <c r="T101" s="260"/>
      <c r="U101" s="260"/>
      <c r="V101" s="537"/>
      <c r="W101" s="66"/>
      <c r="X101" s="579"/>
      <c r="Y101" s="579"/>
      <c r="Z101" s="579"/>
      <c r="AA101" s="579"/>
      <c r="AB101" s="579"/>
    </row>
    <row r="102" spans="1:28" ht="6" customHeight="1" x14ac:dyDescent="0.25">
      <c r="A102" s="210" t="s">
        <v>508</v>
      </c>
      <c r="B102" s="7" t="str">
        <f>IF(  AND(ISNUMBER(C102),OR(ISNUMBER(D102),D102="PG")),IF(IF(Capa!$B$6="B",0,Capa!$B$6)&gt;=C102,1,0),"")</f>
        <v/>
      </c>
      <c r="C102" s="17">
        <f t="shared" si="10"/>
        <v>0</v>
      </c>
      <c r="D102" s="5" t="s">
        <v>53</v>
      </c>
      <c r="E102" s="391"/>
      <c r="F102" s="554"/>
      <c r="G102" s="572"/>
      <c r="H102" s="239"/>
      <c r="I102" s="26"/>
      <c r="J102" s="239"/>
      <c r="K102" s="569"/>
      <c r="L102" s="242"/>
      <c r="M102" s="59"/>
      <c r="N102" s="59"/>
      <c r="O102" s="59"/>
      <c r="P102" s="59"/>
      <c r="Q102" s="59"/>
      <c r="R102" s="59"/>
      <c r="S102" s="262"/>
      <c r="T102" s="262"/>
      <c r="U102" s="355"/>
      <c r="V102" s="538"/>
      <c r="W102" s="478"/>
      <c r="X102" s="522"/>
      <c r="Y102" s="522"/>
      <c r="Z102" s="522"/>
      <c r="AA102" s="522"/>
      <c r="AB102" s="522"/>
    </row>
    <row r="103" spans="1:28" ht="51" x14ac:dyDescent="0.25">
      <c r="A103" s="646" t="s">
        <v>508</v>
      </c>
      <c r="B103" s="7">
        <f>IF(  AND(ISNUMBER(C103),OR(ISNUMBER(D103),D103="PG")),IF(IF(Capa!$B$6="B",0,Capa!$B$6)&gt;=C103,1,0),"")</f>
        <v>1</v>
      </c>
      <c r="C103" s="17">
        <f t="shared" si="10"/>
        <v>0</v>
      </c>
      <c r="D103" s="647" t="s">
        <v>54</v>
      </c>
      <c r="E103" s="389" t="s">
        <v>510</v>
      </c>
      <c r="F103" s="513"/>
      <c r="G103" s="468"/>
      <c r="H103" s="241"/>
      <c r="I103" s="29"/>
      <c r="J103" s="239"/>
      <c r="K103" s="471"/>
      <c r="L103" s="697" t="str">
        <f>IF(OR(AND(NOT(ISBLANK(M103)),M103&lt;IF(Capa!$B$6&lt;&gt;"B",Capa!$B$6+1,1)),AND(NOT(ISBLANK(N103)),N103&lt;IF(Capa!$B$6&lt;&gt;"B",Capa!$B$6+1,1)),AND(NOT(ISBLANK(O103)),O103&lt;IF(Capa!$B$6&lt;&gt;"B",Capa!$B$6+1,1)),AND(NOT(ISBLANK(Q103)),Q103&lt;IF(Capa!$B$6&lt;&gt;"B",Capa!$B$6+1,1)),AND(NOT(ISBLANK(R103)),R103&lt;IF(Capa!$B$6&lt;&gt;"B",Capa!$B$6+1,1)),AND(NOT(ISBLANK(S103)),S103&lt;IF(Capa!$B$6&lt;&gt;"B",Capa!$B$6+1,1))),1,"")</f>
        <v/>
      </c>
      <c r="M103" s="81"/>
      <c r="N103" s="81"/>
      <c r="O103" s="81"/>
      <c r="P103" s="81"/>
      <c r="Q103" s="81"/>
      <c r="R103" s="81"/>
      <c r="S103" s="81"/>
      <c r="T103" s="81"/>
      <c r="U103" s="58"/>
      <c r="V103" s="464"/>
      <c r="W103" s="476"/>
      <c r="X103" s="666"/>
      <c r="Y103" s="522"/>
      <c r="Z103" s="522"/>
      <c r="AA103" s="522"/>
      <c r="AB103" s="522"/>
    </row>
    <row r="104" spans="1:28" ht="45" x14ac:dyDescent="0.25">
      <c r="A104" s="646" t="s">
        <v>508</v>
      </c>
      <c r="B104" s="7">
        <f>IF(  AND(ISNUMBER(C104),OR(ISNUMBER(D104),D104="PG")),IF(IF(Capa!$B$6="B",0,Capa!$B$6)&gt;=C104,1,0),"")</f>
        <v>1</v>
      </c>
      <c r="C104" s="17">
        <f t="shared" si="10"/>
        <v>0</v>
      </c>
      <c r="D104" s="647">
        <v>315</v>
      </c>
      <c r="E104" s="398" t="s">
        <v>511</v>
      </c>
      <c r="F104" s="513"/>
      <c r="G104" s="468"/>
      <c r="H104" s="241"/>
      <c r="I104" s="29"/>
      <c r="J104" s="425">
        <f t="shared" ref="J104:J118" si="13">LEN(K104)</f>
        <v>0</v>
      </c>
      <c r="K104" s="471"/>
      <c r="L104" s="697" t="str">
        <f t="shared" ref="L104:L118" si="14">IF(OR(I104="N",I104="P"),1,"")</f>
        <v/>
      </c>
      <c r="M104" s="719"/>
      <c r="N104" s="720"/>
      <c r="O104" s="720"/>
      <c r="P104" s="720"/>
      <c r="Q104" s="720"/>
      <c r="R104" s="720"/>
      <c r="S104" s="720"/>
      <c r="T104" s="721"/>
      <c r="U104" s="71"/>
      <c r="V104" s="464"/>
      <c r="W104" s="476"/>
      <c r="X104" s="522"/>
      <c r="Y104" s="522"/>
      <c r="Z104" s="522"/>
      <c r="AA104" s="522"/>
      <c r="AB104" s="522"/>
    </row>
    <row r="105" spans="1:28" ht="60" x14ac:dyDescent="0.25">
      <c r="A105" s="646" t="s">
        <v>508</v>
      </c>
      <c r="B105" s="7">
        <f>IF(  AND(ISNUMBER(C105),OR(ISNUMBER(D105),D105="PG")),IF(IF(Capa!$B$6="B",0,Capa!$B$6)&gt;=C105,1,0),"")</f>
        <v>1</v>
      </c>
      <c r="C105" s="17">
        <f t="shared" si="10"/>
        <v>0</v>
      </c>
      <c r="D105" s="647">
        <v>316</v>
      </c>
      <c r="E105" s="352" t="s">
        <v>512</v>
      </c>
      <c r="F105" s="513"/>
      <c r="G105" s="468"/>
      <c r="H105" s="241"/>
      <c r="I105" s="29"/>
      <c r="J105" s="425">
        <f t="shared" si="13"/>
        <v>0</v>
      </c>
      <c r="K105" s="471"/>
      <c r="L105" s="697" t="str">
        <f t="shared" si="14"/>
        <v/>
      </c>
      <c r="M105" s="719"/>
      <c r="N105" s="720"/>
      <c r="O105" s="720"/>
      <c r="P105" s="720"/>
      <c r="Q105" s="720"/>
      <c r="R105" s="720"/>
      <c r="S105" s="720"/>
      <c r="T105" s="721"/>
      <c r="U105" s="71"/>
      <c r="V105" s="464"/>
      <c r="W105" s="476"/>
      <c r="X105" s="522"/>
      <c r="Y105" s="522"/>
      <c r="Z105" s="522"/>
      <c r="AA105" s="522"/>
      <c r="AB105" s="522"/>
    </row>
    <row r="106" spans="1:28" ht="90" x14ac:dyDescent="0.25">
      <c r="A106" s="646" t="s">
        <v>508</v>
      </c>
      <c r="B106" s="7">
        <f>IF(  AND(ISNUMBER(C106),OR(ISNUMBER(D106),D106="PG")),IF(IF(Capa!$B$6="B",0,Capa!$B$6)&gt;=C106,1,0),"")</f>
        <v>1</v>
      </c>
      <c r="C106" s="17">
        <f t="shared" si="10"/>
        <v>0</v>
      </c>
      <c r="D106" s="647">
        <v>317</v>
      </c>
      <c r="E106" s="352" t="s">
        <v>513</v>
      </c>
      <c r="F106" s="513"/>
      <c r="G106" s="468"/>
      <c r="H106" s="241"/>
      <c r="I106" s="29"/>
      <c r="J106" s="425">
        <f t="shared" si="13"/>
        <v>0</v>
      </c>
      <c r="K106" s="471"/>
      <c r="L106" s="697" t="str">
        <f t="shared" si="14"/>
        <v/>
      </c>
      <c r="M106" s="719"/>
      <c r="N106" s="720"/>
      <c r="O106" s="720"/>
      <c r="P106" s="720"/>
      <c r="Q106" s="720"/>
      <c r="R106" s="720"/>
      <c r="S106" s="720"/>
      <c r="T106" s="721"/>
      <c r="U106" s="71"/>
      <c r="V106" s="464"/>
      <c r="W106" s="476"/>
      <c r="X106" s="666"/>
      <c r="Y106" s="522"/>
      <c r="Z106" s="522"/>
      <c r="AA106" s="522"/>
      <c r="AB106" s="522"/>
    </row>
    <row r="107" spans="1:28" ht="6" customHeight="1" x14ac:dyDescent="0.25">
      <c r="A107" s="646" t="s">
        <v>462</v>
      </c>
      <c r="B107" s="7" t="str">
        <f>IF(  AND(ISNUMBER(C107),OR(ISNUMBER(D107),D107="PG")),IF(IF(Capa!$B$6="B",0,Capa!$B$6)&gt;=C107,1,0),"")</f>
        <v/>
      </c>
      <c r="C107" s="17">
        <f t="shared" si="10"/>
        <v>1</v>
      </c>
      <c r="D107" s="647" t="s">
        <v>62</v>
      </c>
      <c r="E107" s="352"/>
      <c r="F107" s="513"/>
      <c r="G107" s="468"/>
      <c r="H107" s="241"/>
      <c r="I107" s="29"/>
      <c r="J107" s="425">
        <f t="shared" si="13"/>
        <v>0</v>
      </c>
      <c r="K107" s="471"/>
      <c r="L107" s="697" t="str">
        <f t="shared" si="14"/>
        <v/>
      </c>
      <c r="M107" s="719"/>
      <c r="N107" s="720"/>
      <c r="O107" s="720"/>
      <c r="P107" s="720"/>
      <c r="Q107" s="720"/>
      <c r="R107" s="720"/>
      <c r="S107" s="720"/>
      <c r="T107" s="721"/>
      <c r="U107" s="71"/>
      <c r="V107" s="464"/>
      <c r="W107" s="476"/>
      <c r="X107" s="522"/>
      <c r="Y107" s="522"/>
      <c r="Z107" s="522"/>
      <c r="AA107" s="522"/>
      <c r="AB107" s="522"/>
    </row>
    <row r="108" spans="1:28" ht="45" x14ac:dyDescent="0.25">
      <c r="A108" s="646" t="s">
        <v>508</v>
      </c>
      <c r="B108" s="7">
        <f>IF(  AND(ISNUMBER(C108),OR(ISNUMBER(D108),D108="PG")),IF(IF(Capa!$B$6="B",0,Capa!$B$6)&gt;=C108,1,0),"")</f>
        <v>0</v>
      </c>
      <c r="C108" s="17">
        <f t="shared" si="10"/>
        <v>1</v>
      </c>
      <c r="D108" s="647">
        <v>318</v>
      </c>
      <c r="E108" s="352" t="s">
        <v>514</v>
      </c>
      <c r="F108" s="513"/>
      <c r="G108" s="468"/>
      <c r="H108" s="241"/>
      <c r="I108" s="29"/>
      <c r="J108" s="425">
        <f t="shared" si="13"/>
        <v>0</v>
      </c>
      <c r="K108" s="471"/>
      <c r="L108" s="697" t="str">
        <f t="shared" si="14"/>
        <v/>
      </c>
      <c r="M108" s="719"/>
      <c r="N108" s="720"/>
      <c r="O108" s="720"/>
      <c r="P108" s="720"/>
      <c r="Q108" s="720"/>
      <c r="R108" s="720"/>
      <c r="S108" s="720"/>
      <c r="T108" s="721"/>
      <c r="U108" s="71"/>
      <c r="V108" s="464"/>
      <c r="W108" s="476"/>
      <c r="X108" s="522"/>
      <c r="Y108" s="522"/>
      <c r="Z108" s="522"/>
      <c r="AA108" s="522"/>
      <c r="AB108" s="522"/>
    </row>
    <row r="109" spans="1:28" ht="43.15" customHeight="1" x14ac:dyDescent="0.25">
      <c r="A109" s="646" t="s">
        <v>508</v>
      </c>
      <c r="B109" s="7">
        <f>IF(  AND(ISNUMBER(C109),OR(ISNUMBER(D109),D109="PG")),IF(IF(Capa!$B$6="B",0,Capa!$B$6)&gt;=C109,1,0),"")</f>
        <v>0</v>
      </c>
      <c r="C109" s="17">
        <f t="shared" si="10"/>
        <v>1</v>
      </c>
      <c r="D109" s="647">
        <v>319</v>
      </c>
      <c r="E109" s="352" t="s">
        <v>515</v>
      </c>
      <c r="F109" s="513"/>
      <c r="G109" s="468"/>
      <c r="H109" s="241"/>
      <c r="I109" s="29"/>
      <c r="J109" s="425">
        <f t="shared" si="13"/>
        <v>0</v>
      </c>
      <c r="K109" s="471"/>
      <c r="L109" s="697" t="str">
        <f t="shared" si="14"/>
        <v/>
      </c>
      <c r="M109" s="719"/>
      <c r="N109" s="720"/>
      <c r="O109" s="720"/>
      <c r="P109" s="720"/>
      <c r="Q109" s="720"/>
      <c r="R109" s="720"/>
      <c r="S109" s="720"/>
      <c r="T109" s="721"/>
      <c r="U109" s="71"/>
      <c r="V109" s="464"/>
      <c r="W109" s="476"/>
      <c r="X109" s="522"/>
      <c r="Y109" s="522"/>
      <c r="Z109" s="522"/>
      <c r="AA109" s="522"/>
      <c r="AB109" s="522"/>
    </row>
    <row r="110" spans="1:28" ht="51" customHeight="1" x14ac:dyDescent="0.25">
      <c r="A110" s="646" t="s">
        <v>508</v>
      </c>
      <c r="B110" s="7">
        <f>IF(  AND(ISNUMBER(C110),OR(ISNUMBER(D110),D110="PG")),IF(IF(Capa!$B$6="B",0,Capa!$B$6)&gt;=C110,1,0),"")</f>
        <v>0</v>
      </c>
      <c r="C110" s="17">
        <f t="shared" si="10"/>
        <v>1</v>
      </c>
      <c r="D110" s="647">
        <v>320</v>
      </c>
      <c r="E110" s="352" t="s">
        <v>516</v>
      </c>
      <c r="F110" s="513"/>
      <c r="G110" s="468"/>
      <c r="H110" s="241"/>
      <c r="I110" s="29"/>
      <c r="J110" s="425">
        <f t="shared" si="13"/>
        <v>0</v>
      </c>
      <c r="K110" s="471"/>
      <c r="L110" s="697" t="str">
        <f t="shared" si="14"/>
        <v/>
      </c>
      <c r="M110" s="719"/>
      <c r="N110" s="720"/>
      <c r="O110" s="720"/>
      <c r="P110" s="720"/>
      <c r="Q110" s="720"/>
      <c r="R110" s="720"/>
      <c r="S110" s="720"/>
      <c r="T110" s="721"/>
      <c r="U110" s="71"/>
      <c r="V110" s="464"/>
      <c r="W110" s="476"/>
      <c r="X110" s="522"/>
      <c r="Y110" s="522"/>
      <c r="Z110" s="522"/>
      <c r="AA110" s="522"/>
      <c r="AB110" s="522"/>
    </row>
    <row r="111" spans="1:28" ht="11.45" customHeight="1" x14ac:dyDescent="0.25">
      <c r="A111" s="646" t="s">
        <v>508</v>
      </c>
      <c r="B111" s="7" t="str">
        <f>IF(  AND(ISNUMBER(C111),OR(ISNUMBER(D111),D111="PG")),IF(IF(Capa!$B$6="B",0,Capa!$B$6)&gt;=C111,1,0),"")</f>
        <v/>
      </c>
      <c r="C111" s="17">
        <f t="shared" si="10"/>
        <v>2</v>
      </c>
      <c r="D111" s="647" t="s">
        <v>64</v>
      </c>
      <c r="E111" s="352"/>
      <c r="F111" s="513"/>
      <c r="G111" s="468"/>
      <c r="H111" s="241"/>
      <c r="I111" s="29"/>
      <c r="J111" s="425">
        <f t="shared" si="13"/>
        <v>0</v>
      </c>
      <c r="K111" s="471"/>
      <c r="L111" s="697" t="str">
        <f t="shared" si="14"/>
        <v/>
      </c>
      <c r="M111" s="719"/>
      <c r="N111" s="720"/>
      <c r="O111" s="720"/>
      <c r="P111" s="720"/>
      <c r="Q111" s="720"/>
      <c r="R111" s="720"/>
      <c r="S111" s="720"/>
      <c r="T111" s="721"/>
      <c r="U111" s="71"/>
      <c r="V111" s="464"/>
      <c r="W111" s="476"/>
      <c r="X111" s="522"/>
      <c r="Y111" s="522"/>
      <c r="Z111" s="522"/>
      <c r="AA111" s="522"/>
      <c r="AB111" s="522"/>
    </row>
    <row r="112" spans="1:28" ht="45" x14ac:dyDescent="0.25">
      <c r="A112" s="646" t="s">
        <v>508</v>
      </c>
      <c r="B112" s="7">
        <f>IF(  AND(ISNUMBER(C112),OR(ISNUMBER(D112),D112="PG")),IF(IF(Capa!$B$6="B",0,Capa!$B$6)&gt;=C112,1,0),"")</f>
        <v>0</v>
      </c>
      <c r="C112" s="17">
        <f t="shared" si="10"/>
        <v>2</v>
      </c>
      <c r="D112" s="647">
        <v>321</v>
      </c>
      <c r="E112" s="352" t="s">
        <v>517</v>
      </c>
      <c r="F112" s="513"/>
      <c r="G112" s="468"/>
      <c r="H112" s="241"/>
      <c r="I112" s="29"/>
      <c r="J112" s="425">
        <f t="shared" si="13"/>
        <v>0</v>
      </c>
      <c r="K112" s="471"/>
      <c r="L112" s="697" t="str">
        <f t="shared" si="14"/>
        <v/>
      </c>
      <c r="M112" s="719"/>
      <c r="N112" s="720"/>
      <c r="O112" s="720"/>
      <c r="P112" s="720"/>
      <c r="Q112" s="720"/>
      <c r="R112" s="720"/>
      <c r="S112" s="720"/>
      <c r="T112" s="721"/>
      <c r="U112" s="71"/>
      <c r="V112" s="464"/>
      <c r="W112" s="476"/>
      <c r="X112" s="522"/>
      <c r="Y112" s="522"/>
      <c r="Z112" s="522"/>
      <c r="AA112" s="522"/>
      <c r="AB112" s="522"/>
    </row>
    <row r="113" spans="1:28" ht="60" x14ac:dyDescent="0.25">
      <c r="A113" s="646" t="s">
        <v>508</v>
      </c>
      <c r="B113" s="7">
        <f>IF(  AND(ISNUMBER(C113),OR(ISNUMBER(D113),D113="PG")),IF(IF(Capa!$B$6="B",0,Capa!$B$6)&gt;=C113,1,0),"")</f>
        <v>0</v>
      </c>
      <c r="C113" s="17">
        <f t="shared" si="10"/>
        <v>2</v>
      </c>
      <c r="D113" s="647">
        <v>322</v>
      </c>
      <c r="E113" s="352" t="s">
        <v>518</v>
      </c>
      <c r="F113" s="513"/>
      <c r="G113" s="468"/>
      <c r="H113" s="241"/>
      <c r="I113" s="29"/>
      <c r="J113" s="425">
        <f t="shared" si="13"/>
        <v>0</v>
      </c>
      <c r="K113" s="471"/>
      <c r="L113" s="697" t="str">
        <f t="shared" si="14"/>
        <v/>
      </c>
      <c r="M113" s="719"/>
      <c r="N113" s="720"/>
      <c r="O113" s="720"/>
      <c r="P113" s="720"/>
      <c r="Q113" s="720"/>
      <c r="R113" s="720"/>
      <c r="S113" s="720"/>
      <c r="T113" s="721"/>
      <c r="U113" s="71"/>
      <c r="V113" s="464"/>
      <c r="W113" s="476"/>
      <c r="X113" s="522"/>
      <c r="Y113" s="522"/>
      <c r="Z113" s="522"/>
      <c r="AA113" s="522"/>
      <c r="AB113" s="522"/>
    </row>
    <row r="114" spans="1:28" ht="45" x14ac:dyDescent="0.25">
      <c r="A114" s="646" t="s">
        <v>508</v>
      </c>
      <c r="B114" s="7">
        <f>IF(  AND(ISNUMBER(C114),OR(ISNUMBER(D114),D114="PG")),IF(IF(Capa!$B$6="B",0,Capa!$B$6)&gt;=C114,1,0),"")</f>
        <v>0</v>
      </c>
      <c r="C114" s="17">
        <f t="shared" si="10"/>
        <v>2</v>
      </c>
      <c r="D114" s="647">
        <v>323</v>
      </c>
      <c r="E114" s="352" t="s">
        <v>519</v>
      </c>
      <c r="F114" s="513"/>
      <c r="G114" s="468"/>
      <c r="H114" s="241"/>
      <c r="I114" s="29"/>
      <c r="J114" s="425">
        <f t="shared" si="13"/>
        <v>0</v>
      </c>
      <c r="K114" s="471"/>
      <c r="L114" s="697" t="str">
        <f t="shared" si="14"/>
        <v/>
      </c>
      <c r="M114" s="719"/>
      <c r="N114" s="720"/>
      <c r="O114" s="720"/>
      <c r="P114" s="720"/>
      <c r="Q114" s="720"/>
      <c r="R114" s="720"/>
      <c r="S114" s="720"/>
      <c r="T114" s="721"/>
      <c r="U114" s="71"/>
      <c r="V114" s="464"/>
      <c r="W114" s="476"/>
      <c r="X114" s="666"/>
      <c r="Y114" s="522"/>
      <c r="Z114" s="522"/>
      <c r="AA114" s="522"/>
      <c r="AB114" s="522"/>
    </row>
    <row r="115" spans="1:28" ht="9" customHeight="1" x14ac:dyDescent="0.25">
      <c r="A115" s="646" t="s">
        <v>508</v>
      </c>
      <c r="B115" s="7" t="str">
        <f>IF(  AND(ISNUMBER(C115),OR(ISNUMBER(D115),D115="PG")),IF(IF(Capa!$B$6="B",0,Capa!$B$6)&gt;=C115,1,0),"")</f>
        <v/>
      </c>
      <c r="C115" s="17">
        <f t="shared" si="10"/>
        <v>3</v>
      </c>
      <c r="D115" s="647" t="s">
        <v>70</v>
      </c>
      <c r="E115" s="352"/>
      <c r="F115" s="513"/>
      <c r="G115" s="468"/>
      <c r="H115" s="241"/>
      <c r="I115" s="29"/>
      <c r="J115" s="425">
        <f t="shared" si="13"/>
        <v>0</v>
      </c>
      <c r="K115" s="471"/>
      <c r="L115" s="697" t="str">
        <f t="shared" si="14"/>
        <v/>
      </c>
      <c r="M115" s="719"/>
      <c r="N115" s="720"/>
      <c r="O115" s="720"/>
      <c r="P115" s="720"/>
      <c r="Q115" s="720"/>
      <c r="R115" s="720"/>
      <c r="S115" s="720"/>
      <c r="T115" s="721"/>
      <c r="U115" s="71"/>
      <c r="V115" s="464"/>
      <c r="W115" s="476"/>
      <c r="X115" s="522"/>
      <c r="Y115" s="522"/>
      <c r="Z115" s="522"/>
      <c r="AA115" s="522"/>
      <c r="AB115" s="522"/>
    </row>
    <row r="116" spans="1:28" ht="47.45" customHeight="1" x14ac:dyDescent="0.25">
      <c r="A116" s="646" t="s">
        <v>508</v>
      </c>
      <c r="B116" s="7">
        <f>IF(  AND(ISNUMBER(C116),OR(ISNUMBER(D116),D116="PG")),IF(IF(Capa!$B$6="B",0,Capa!$B$6)&gt;=C116,1,0),"")</f>
        <v>0</v>
      </c>
      <c r="C116" s="17">
        <f t="shared" si="10"/>
        <v>3</v>
      </c>
      <c r="D116" s="649">
        <v>324</v>
      </c>
      <c r="E116" s="409" t="s">
        <v>520</v>
      </c>
      <c r="F116" s="513"/>
      <c r="G116" s="468"/>
      <c r="H116" s="241"/>
      <c r="I116" s="29"/>
      <c r="J116" s="425">
        <f t="shared" si="13"/>
        <v>0</v>
      </c>
      <c r="K116" s="471"/>
      <c r="L116" s="697" t="str">
        <f t="shared" si="14"/>
        <v/>
      </c>
      <c r="M116" s="719"/>
      <c r="N116" s="720"/>
      <c r="O116" s="720"/>
      <c r="P116" s="720"/>
      <c r="Q116" s="720"/>
      <c r="R116" s="720"/>
      <c r="S116" s="720"/>
      <c r="T116" s="721"/>
      <c r="U116" s="71"/>
      <c r="V116" s="464"/>
      <c r="W116" s="476"/>
      <c r="X116" s="522"/>
      <c r="Y116" s="522"/>
      <c r="Z116" s="522"/>
      <c r="AA116" s="522"/>
      <c r="AB116" s="522"/>
    </row>
    <row r="117" spans="1:28" ht="75" x14ac:dyDescent="0.25">
      <c r="A117" s="646" t="s">
        <v>508</v>
      </c>
      <c r="B117" s="7">
        <f>IF(  AND(ISNUMBER(C117),OR(ISNUMBER(D117),D117="PG")),IF(IF(Capa!$B$6="B",0,Capa!$B$6)&gt;=C117,1,0),"")</f>
        <v>0</v>
      </c>
      <c r="C117" s="17">
        <f t="shared" si="10"/>
        <v>3</v>
      </c>
      <c r="D117" s="649">
        <v>325</v>
      </c>
      <c r="E117" s="409" t="s">
        <v>521</v>
      </c>
      <c r="F117" s="513"/>
      <c r="G117" s="468"/>
      <c r="H117" s="241"/>
      <c r="I117" s="29"/>
      <c r="J117" s="425">
        <f t="shared" si="13"/>
        <v>0</v>
      </c>
      <c r="K117" s="471"/>
      <c r="L117" s="697" t="str">
        <f t="shared" si="14"/>
        <v/>
      </c>
      <c r="M117" s="719"/>
      <c r="N117" s="720"/>
      <c r="O117" s="720"/>
      <c r="P117" s="720"/>
      <c r="Q117" s="720"/>
      <c r="R117" s="720"/>
      <c r="S117" s="720"/>
      <c r="T117" s="721"/>
      <c r="U117" s="71"/>
      <c r="V117" s="464"/>
      <c r="W117" s="476"/>
      <c r="X117" s="522"/>
      <c r="Y117" s="522"/>
      <c r="Z117" s="522"/>
      <c r="AA117" s="522"/>
      <c r="AB117" s="522"/>
    </row>
    <row r="118" spans="1:28" ht="30" x14ac:dyDescent="0.25">
      <c r="A118" s="646" t="s">
        <v>508</v>
      </c>
      <c r="B118" s="7">
        <f>IF(  AND(ISNUMBER(C118),OR(ISNUMBER(D118),D118="PG")),IF(IF(Capa!$B$6="B",0,Capa!$B$6)&gt;=C118,1,0),"")</f>
        <v>0</v>
      </c>
      <c r="C118" s="17">
        <f t="shared" si="10"/>
        <v>3</v>
      </c>
      <c r="D118" s="649">
        <v>326</v>
      </c>
      <c r="E118" s="412" t="s">
        <v>522</v>
      </c>
      <c r="F118" s="513"/>
      <c r="G118" s="468"/>
      <c r="H118" s="241"/>
      <c r="I118" s="29"/>
      <c r="J118" s="425">
        <f t="shared" si="13"/>
        <v>0</v>
      </c>
      <c r="K118" s="471"/>
      <c r="L118" s="697" t="str">
        <f t="shared" si="14"/>
        <v/>
      </c>
      <c r="M118" s="719"/>
      <c r="N118" s="720"/>
      <c r="O118" s="720"/>
      <c r="P118" s="720"/>
      <c r="Q118" s="720"/>
      <c r="R118" s="720"/>
      <c r="S118" s="720"/>
      <c r="T118" s="721"/>
      <c r="U118" s="71"/>
      <c r="V118" s="464"/>
      <c r="W118" s="477"/>
      <c r="X118" s="522"/>
      <c r="Y118" s="522"/>
      <c r="Z118" s="522"/>
      <c r="AA118" s="522"/>
      <c r="AB118" s="522"/>
    </row>
    <row r="119" spans="1:28" ht="9" customHeight="1" x14ac:dyDescent="0.25">
      <c r="B119" s="7" t="str">
        <f>IF(  AND(ISNUMBER(C119),OR(ISNUMBER(D119),D119="PG")),IF(IF(Capa!$B$6="B",0,Capa!$B$6)&gt;=C119,1,0),"")</f>
        <v/>
      </c>
      <c r="C119" s="118" t="str">
        <f t="shared" ref="C119" si="15">IF(ISBLANK(D119),"",IF(ISERR(SEARCH(D119&amp;"\","&lt;B&gt;\&lt;1&gt;\&lt;2&gt;\&lt;3&gt;\")),IF(AND(NOT(ISBLANK(C118)),C118&lt;=3),C118,""),
IF(SEARCH(D119&amp;"\","&lt;B&gt;\&lt;1&gt;\&lt;2&gt;\&lt;3&gt;\")=1,0,IF(SEARCH(D119&amp;"\","&lt;B&gt;\&lt;1&gt;\&lt;2&gt;\&lt;3&gt;\")=5,1,IF(SEARCH(D119&amp;"\","&lt;B&gt;\&lt;1&gt;\&lt;2&gt;\&lt;3&gt;\")=9,2,IF(SEARCH(D119&amp;"\","&lt;B&gt;\&lt;1&gt;\&lt;2&gt;\&lt;3&gt;\")=13,3,""))))))</f>
        <v/>
      </c>
      <c r="D119" s="122"/>
      <c r="E119" s="291"/>
      <c r="F119" s="123"/>
      <c r="G119" s="227"/>
      <c r="H119" s="227"/>
      <c r="I119" s="123"/>
      <c r="J119" s="227"/>
      <c r="K119" s="245"/>
      <c r="L119" s="246"/>
      <c r="M119" s="129"/>
      <c r="N119" s="129"/>
      <c r="O119" s="129"/>
      <c r="P119" s="129"/>
      <c r="Q119" s="129"/>
      <c r="R119" s="129"/>
      <c r="S119" s="247"/>
      <c r="T119" s="247"/>
      <c r="U119" s="282"/>
      <c r="V119" s="543"/>
      <c r="W119" s="125"/>
      <c r="X119" s="522"/>
      <c r="Y119" s="522"/>
      <c r="Z119" s="522"/>
      <c r="AA119" s="522"/>
      <c r="AB119" s="522"/>
    </row>
    <row r="120" spans="1:28" s="214" customFormat="1" x14ac:dyDescent="0.25">
      <c r="A120" s="266"/>
      <c r="B120" s="266"/>
      <c r="C120" s="54"/>
      <c r="D120" s="267"/>
      <c r="E120" s="268"/>
      <c r="F120" s="55"/>
      <c r="G120" s="269"/>
      <c r="H120" s="269"/>
      <c r="I120" s="55"/>
      <c r="J120" s="269"/>
      <c r="K120" s="270"/>
      <c r="L120" s="269"/>
      <c r="M120" s="62"/>
      <c r="N120" s="62"/>
      <c r="O120" s="62"/>
      <c r="P120" s="62"/>
      <c r="Q120" s="62"/>
      <c r="R120" s="62"/>
      <c r="W120" s="60"/>
    </row>
    <row r="121" spans="1:28" s="214" customFormat="1" x14ac:dyDescent="0.25">
      <c r="A121" s="266"/>
      <c r="B121" s="266"/>
      <c r="C121" s="54"/>
      <c r="D121" s="267"/>
      <c r="E121" s="268"/>
      <c r="F121" s="55"/>
      <c r="G121" s="269"/>
      <c r="H121" s="269"/>
      <c r="I121" s="55"/>
      <c r="J121" s="269"/>
      <c r="K121" s="270"/>
      <c r="L121" s="269"/>
      <c r="M121" s="62"/>
      <c r="N121" s="62"/>
      <c r="O121" s="62"/>
      <c r="P121" s="62"/>
      <c r="Q121" s="62"/>
      <c r="R121" s="62"/>
      <c r="W121" s="60"/>
    </row>
    <row r="122" spans="1:28" s="214" customFormat="1" x14ac:dyDescent="0.25">
      <c r="A122" s="266"/>
      <c r="B122" s="266"/>
      <c r="C122" s="54"/>
      <c r="D122" s="267"/>
      <c r="E122" s="268"/>
      <c r="F122" s="55"/>
      <c r="G122" s="269"/>
      <c r="H122" s="269"/>
      <c r="I122" s="55"/>
      <c r="J122" s="269"/>
      <c r="K122" s="270"/>
      <c r="L122" s="269"/>
      <c r="M122" s="62"/>
      <c r="N122" s="62"/>
      <c r="O122" s="62"/>
      <c r="P122" s="62"/>
      <c r="Q122" s="62"/>
      <c r="R122" s="62"/>
      <c r="W122" s="60"/>
    </row>
    <row r="123" spans="1:28" s="214" customFormat="1" x14ac:dyDescent="0.25">
      <c r="A123" s="266"/>
      <c r="B123" s="266"/>
      <c r="C123" s="54"/>
      <c r="D123" s="267"/>
      <c r="E123" s="268"/>
      <c r="F123" s="55"/>
      <c r="G123" s="269"/>
      <c r="H123" s="269"/>
      <c r="I123" s="55"/>
      <c r="J123" s="269"/>
      <c r="K123" s="270"/>
      <c r="L123" s="269"/>
      <c r="M123" s="62"/>
      <c r="N123" s="62"/>
      <c r="O123" s="62"/>
      <c r="P123" s="62"/>
      <c r="Q123" s="62"/>
      <c r="R123" s="62"/>
      <c r="W123" s="60"/>
    </row>
    <row r="124" spans="1:28" s="214" customFormat="1" x14ac:dyDescent="0.25">
      <c r="A124" s="266"/>
      <c r="B124" s="266"/>
      <c r="C124" s="54"/>
      <c r="D124" s="267"/>
      <c r="E124" s="268"/>
      <c r="F124" s="55"/>
      <c r="G124" s="269"/>
      <c r="H124" s="269"/>
      <c r="I124" s="55"/>
      <c r="J124" s="269"/>
      <c r="K124" s="270"/>
      <c r="L124" s="269"/>
      <c r="M124" s="62"/>
      <c r="N124" s="62"/>
      <c r="O124" s="62"/>
      <c r="P124" s="62"/>
      <c r="Q124" s="62"/>
      <c r="R124" s="62"/>
      <c r="W124" s="60"/>
    </row>
    <row r="125" spans="1:28" s="214" customFormat="1" x14ac:dyDescent="0.25">
      <c r="A125" s="266"/>
      <c r="B125" s="266"/>
      <c r="C125" s="54"/>
      <c r="D125" s="267"/>
      <c r="E125" s="268"/>
      <c r="F125" s="55"/>
      <c r="G125" s="269"/>
      <c r="H125" s="269"/>
      <c r="I125" s="55"/>
      <c r="J125" s="269"/>
      <c r="K125" s="270"/>
      <c r="L125" s="269"/>
      <c r="M125" s="62"/>
      <c r="N125" s="62"/>
      <c r="O125" s="62"/>
      <c r="P125" s="62"/>
      <c r="Q125" s="62"/>
      <c r="R125" s="62"/>
      <c r="W125" s="60"/>
    </row>
    <row r="126" spans="1:28" s="214" customFormat="1" x14ac:dyDescent="0.25">
      <c r="A126" s="266"/>
      <c r="B126" s="266"/>
      <c r="C126" s="54"/>
      <c r="D126" s="267"/>
      <c r="E126" s="268"/>
      <c r="F126" s="55"/>
      <c r="G126" s="269"/>
      <c r="H126" s="269"/>
      <c r="I126" s="55"/>
      <c r="J126" s="269"/>
      <c r="K126" s="270"/>
      <c r="L126" s="269"/>
      <c r="M126" s="62"/>
      <c r="N126" s="62"/>
      <c r="O126" s="62"/>
      <c r="P126" s="62"/>
      <c r="Q126" s="62"/>
      <c r="R126" s="62"/>
      <c r="W126" s="60"/>
    </row>
    <row r="127" spans="1:28" s="214" customFormat="1" x14ac:dyDescent="0.25">
      <c r="A127" s="266"/>
      <c r="B127" s="266"/>
      <c r="C127" s="54"/>
      <c r="D127" s="267"/>
      <c r="E127" s="268"/>
      <c r="F127" s="55"/>
      <c r="G127" s="269"/>
      <c r="H127" s="269"/>
      <c r="I127" s="55"/>
      <c r="J127" s="269"/>
      <c r="K127" s="270"/>
      <c r="L127" s="269"/>
      <c r="M127" s="62"/>
      <c r="N127" s="62"/>
      <c r="O127" s="62"/>
      <c r="P127" s="62"/>
      <c r="Q127" s="62"/>
      <c r="R127" s="62"/>
      <c r="W127" s="60"/>
    </row>
    <row r="128" spans="1:28" s="214" customFormat="1" x14ac:dyDescent="0.25">
      <c r="A128" s="266"/>
      <c r="B128" s="266"/>
      <c r="C128" s="54"/>
      <c r="D128" s="267"/>
      <c r="E128" s="268"/>
      <c r="F128" s="55"/>
      <c r="G128" s="269"/>
      <c r="H128" s="269"/>
      <c r="I128" s="55"/>
      <c r="J128" s="269"/>
      <c r="K128" s="270"/>
      <c r="L128" s="269"/>
      <c r="M128" s="62"/>
      <c r="N128" s="62"/>
      <c r="O128" s="62"/>
      <c r="P128" s="62"/>
      <c r="Q128" s="62"/>
      <c r="R128" s="62"/>
      <c r="W128" s="60"/>
    </row>
    <row r="129" spans="1:23" s="214" customFormat="1" x14ac:dyDescent="0.25">
      <c r="A129" s="266"/>
      <c r="B129" s="266"/>
      <c r="C129" s="54"/>
      <c r="D129" s="267"/>
      <c r="E129" s="268"/>
      <c r="F129" s="55"/>
      <c r="G129" s="269"/>
      <c r="H129" s="269"/>
      <c r="I129" s="55"/>
      <c r="J129" s="269"/>
      <c r="K129" s="270"/>
      <c r="L129" s="269"/>
      <c r="M129" s="62"/>
      <c r="N129" s="62"/>
      <c r="O129" s="62"/>
      <c r="P129" s="62"/>
      <c r="Q129" s="62"/>
      <c r="R129" s="62"/>
      <c r="W129" s="60"/>
    </row>
    <row r="130" spans="1:23" s="214" customFormat="1" x14ac:dyDescent="0.25">
      <c r="A130" s="266"/>
      <c r="B130" s="266"/>
      <c r="C130" s="54"/>
      <c r="D130" s="267"/>
      <c r="E130" s="268"/>
      <c r="F130" s="55"/>
      <c r="G130" s="269"/>
      <c r="H130" s="269"/>
      <c r="I130" s="55"/>
      <c r="J130" s="269"/>
      <c r="K130" s="270"/>
      <c r="L130" s="269"/>
      <c r="M130" s="62"/>
      <c r="N130" s="62"/>
      <c r="O130" s="62"/>
      <c r="P130" s="62"/>
      <c r="Q130" s="62"/>
      <c r="R130" s="62"/>
      <c r="W130" s="60"/>
    </row>
    <row r="131" spans="1:23" s="214" customFormat="1" x14ac:dyDescent="0.25">
      <c r="A131" s="266"/>
      <c r="B131" s="266"/>
      <c r="C131" s="54"/>
      <c r="D131" s="267"/>
      <c r="E131" s="268"/>
      <c r="F131" s="55"/>
      <c r="G131" s="269"/>
      <c r="H131" s="269"/>
      <c r="I131" s="55"/>
      <c r="J131" s="269"/>
      <c r="K131" s="270"/>
      <c r="L131" s="269"/>
      <c r="M131" s="62"/>
      <c r="N131" s="62"/>
      <c r="O131" s="62"/>
      <c r="P131" s="62"/>
      <c r="Q131" s="62"/>
      <c r="R131" s="62"/>
      <c r="W131" s="60"/>
    </row>
    <row r="132" spans="1:23" s="214" customFormat="1" x14ac:dyDescent="0.25">
      <c r="A132" s="266"/>
      <c r="B132" s="266"/>
      <c r="C132" s="54"/>
      <c r="D132" s="267"/>
      <c r="E132" s="268"/>
      <c r="F132" s="55"/>
      <c r="G132" s="269"/>
      <c r="H132" s="269"/>
      <c r="I132" s="55"/>
      <c r="J132" s="269"/>
      <c r="K132" s="270"/>
      <c r="L132" s="269"/>
      <c r="M132" s="62"/>
      <c r="N132" s="62"/>
      <c r="O132" s="62"/>
      <c r="P132" s="62"/>
      <c r="Q132" s="62"/>
      <c r="R132" s="62"/>
      <c r="W132" s="60"/>
    </row>
    <row r="133" spans="1:23" s="214" customFormat="1" x14ac:dyDescent="0.25">
      <c r="A133" s="266"/>
      <c r="B133" s="266"/>
      <c r="C133" s="54"/>
      <c r="D133" s="267"/>
      <c r="E133" s="268"/>
      <c r="F133" s="55"/>
      <c r="G133" s="269"/>
      <c r="H133" s="269"/>
      <c r="I133" s="55"/>
      <c r="J133" s="269"/>
      <c r="K133" s="270"/>
      <c r="L133" s="269"/>
      <c r="M133" s="62"/>
      <c r="N133" s="62"/>
      <c r="O133" s="62"/>
      <c r="P133" s="62"/>
      <c r="Q133" s="62"/>
      <c r="R133" s="62"/>
      <c r="W133" s="60"/>
    </row>
    <row r="134" spans="1:23" s="214" customFormat="1" x14ac:dyDescent="0.25">
      <c r="A134" s="266"/>
      <c r="B134" s="266"/>
      <c r="C134" s="54"/>
      <c r="D134" s="267"/>
      <c r="E134" s="268"/>
      <c r="F134" s="55"/>
      <c r="G134" s="269"/>
      <c r="H134" s="269"/>
      <c r="I134" s="55"/>
      <c r="J134" s="269"/>
      <c r="K134" s="270"/>
      <c r="L134" s="269"/>
      <c r="M134" s="62"/>
      <c r="N134" s="62"/>
      <c r="O134" s="62"/>
      <c r="P134" s="62"/>
      <c r="Q134" s="62"/>
      <c r="R134" s="62"/>
      <c r="W134" s="60"/>
    </row>
    <row r="135" spans="1:23" s="214" customFormat="1" x14ac:dyDescent="0.25">
      <c r="A135" s="266"/>
      <c r="B135" s="266"/>
      <c r="C135" s="54"/>
      <c r="D135" s="267"/>
      <c r="E135" s="268"/>
      <c r="F135" s="55"/>
      <c r="G135" s="269"/>
      <c r="H135" s="269"/>
      <c r="I135" s="55"/>
      <c r="J135" s="269"/>
      <c r="K135" s="270"/>
      <c r="L135" s="269"/>
      <c r="M135" s="62"/>
      <c r="N135" s="62"/>
      <c r="O135" s="62"/>
      <c r="P135" s="62"/>
      <c r="Q135" s="62"/>
      <c r="R135" s="62"/>
      <c r="W135" s="60"/>
    </row>
    <row r="136" spans="1:23" s="214" customFormat="1" x14ac:dyDescent="0.25">
      <c r="A136" s="266"/>
      <c r="B136" s="266"/>
      <c r="C136" s="54"/>
      <c r="D136" s="267"/>
      <c r="E136" s="268"/>
      <c r="F136" s="55"/>
      <c r="G136" s="269"/>
      <c r="H136" s="269"/>
      <c r="I136" s="55"/>
      <c r="J136" s="269"/>
      <c r="K136" s="270"/>
      <c r="L136" s="269"/>
      <c r="M136" s="62"/>
      <c r="N136" s="62"/>
      <c r="O136" s="62"/>
      <c r="P136" s="62"/>
      <c r="Q136" s="62"/>
      <c r="R136" s="62"/>
      <c r="W136" s="60"/>
    </row>
    <row r="137" spans="1:23" s="214" customFormat="1" x14ac:dyDescent="0.25">
      <c r="A137" s="266"/>
      <c r="B137" s="266"/>
      <c r="C137" s="54"/>
      <c r="D137" s="267"/>
      <c r="E137" s="268"/>
      <c r="F137" s="55"/>
      <c r="G137" s="269"/>
      <c r="H137" s="269"/>
      <c r="I137" s="55"/>
      <c r="J137" s="269"/>
      <c r="K137" s="270"/>
      <c r="L137" s="269"/>
      <c r="M137" s="62"/>
      <c r="N137" s="62"/>
      <c r="O137" s="62"/>
      <c r="P137" s="62"/>
      <c r="Q137" s="62"/>
      <c r="R137" s="62"/>
      <c r="W137" s="60"/>
    </row>
    <row r="138" spans="1:23" s="214" customFormat="1" x14ac:dyDescent="0.25">
      <c r="A138" s="266"/>
      <c r="B138" s="266"/>
      <c r="C138" s="54"/>
      <c r="D138" s="267"/>
      <c r="E138" s="268"/>
      <c r="F138" s="55"/>
      <c r="G138" s="269"/>
      <c r="H138" s="269"/>
      <c r="I138" s="55"/>
      <c r="J138" s="269"/>
      <c r="K138" s="270"/>
      <c r="L138" s="269"/>
      <c r="M138" s="62"/>
      <c r="N138" s="62"/>
      <c r="O138" s="62"/>
      <c r="P138" s="62"/>
      <c r="Q138" s="62"/>
      <c r="R138" s="62"/>
      <c r="W138" s="60"/>
    </row>
    <row r="139" spans="1:23" s="214" customFormat="1" x14ac:dyDescent="0.25">
      <c r="A139" s="266"/>
      <c r="B139" s="266"/>
      <c r="C139" s="54"/>
      <c r="D139" s="267"/>
      <c r="E139" s="268"/>
      <c r="F139" s="55"/>
      <c r="G139" s="269"/>
      <c r="H139" s="269"/>
      <c r="I139" s="55"/>
      <c r="J139" s="269"/>
      <c r="K139" s="270"/>
      <c r="L139" s="269"/>
      <c r="M139" s="62"/>
      <c r="N139" s="62"/>
      <c r="O139" s="62"/>
      <c r="P139" s="62"/>
      <c r="Q139" s="62"/>
      <c r="R139" s="62"/>
      <c r="W139" s="60"/>
    </row>
    <row r="140" spans="1:23" s="214" customFormat="1" x14ac:dyDescent="0.25">
      <c r="A140" s="266"/>
      <c r="B140" s="266"/>
      <c r="C140" s="54"/>
      <c r="D140" s="267"/>
      <c r="E140" s="268"/>
      <c r="F140" s="55"/>
      <c r="G140" s="269"/>
      <c r="H140" s="269"/>
      <c r="I140" s="55"/>
      <c r="J140" s="269"/>
      <c r="K140" s="270"/>
      <c r="L140" s="269"/>
      <c r="M140" s="62"/>
      <c r="N140" s="62"/>
      <c r="O140" s="62"/>
      <c r="P140" s="62"/>
      <c r="Q140" s="62"/>
      <c r="R140" s="62"/>
      <c r="W140" s="60"/>
    </row>
    <row r="141" spans="1:23" s="214" customFormat="1" x14ac:dyDescent="0.25">
      <c r="A141" s="266"/>
      <c r="B141" s="266"/>
      <c r="C141" s="54"/>
      <c r="D141" s="267"/>
      <c r="E141" s="268"/>
      <c r="F141" s="55"/>
      <c r="G141" s="269"/>
      <c r="H141" s="269"/>
      <c r="I141" s="55"/>
      <c r="J141" s="269"/>
      <c r="K141" s="270"/>
      <c r="L141" s="269"/>
      <c r="M141" s="62"/>
      <c r="N141" s="62"/>
      <c r="O141" s="62"/>
      <c r="P141" s="62"/>
      <c r="Q141" s="62"/>
      <c r="R141" s="62"/>
      <c r="W141" s="60"/>
    </row>
    <row r="142" spans="1:23" s="214" customFormat="1" x14ac:dyDescent="0.25">
      <c r="A142" s="266"/>
      <c r="B142" s="266"/>
      <c r="C142" s="54"/>
      <c r="D142" s="267"/>
      <c r="E142" s="268"/>
      <c r="F142" s="55"/>
      <c r="G142" s="269"/>
      <c r="H142" s="269"/>
      <c r="I142" s="55"/>
      <c r="J142" s="269"/>
      <c r="K142" s="270"/>
      <c r="L142" s="269"/>
      <c r="M142" s="62"/>
      <c r="N142" s="62"/>
      <c r="O142" s="62"/>
      <c r="P142" s="62"/>
      <c r="Q142" s="62"/>
      <c r="R142" s="62"/>
      <c r="W142" s="60"/>
    </row>
    <row r="143" spans="1:23" s="214" customFormat="1" x14ac:dyDescent="0.25">
      <c r="A143" s="266"/>
      <c r="B143" s="266"/>
      <c r="C143" s="54"/>
      <c r="D143" s="267"/>
      <c r="E143" s="268"/>
      <c r="F143" s="55"/>
      <c r="G143" s="269"/>
      <c r="H143" s="269"/>
      <c r="I143" s="55"/>
      <c r="J143" s="269"/>
      <c r="K143" s="270"/>
      <c r="L143" s="269"/>
      <c r="M143" s="62"/>
      <c r="N143" s="62"/>
      <c r="O143" s="62"/>
      <c r="P143" s="62"/>
      <c r="Q143" s="62"/>
      <c r="R143" s="62"/>
      <c r="W143" s="60"/>
    </row>
    <row r="144" spans="1:23" s="214" customFormat="1" x14ac:dyDescent="0.25">
      <c r="A144" s="266"/>
      <c r="B144" s="266"/>
      <c r="C144" s="54"/>
      <c r="D144" s="267"/>
      <c r="E144" s="268"/>
      <c r="F144" s="55"/>
      <c r="G144" s="269"/>
      <c r="H144" s="269"/>
      <c r="I144" s="55"/>
      <c r="J144" s="269"/>
      <c r="K144" s="270"/>
      <c r="L144" s="269"/>
      <c r="M144" s="62"/>
      <c r="N144" s="62"/>
      <c r="O144" s="62"/>
      <c r="P144" s="62"/>
      <c r="Q144" s="62"/>
      <c r="R144" s="62"/>
      <c r="W144" s="60"/>
    </row>
    <row r="145" spans="1:23" s="214" customFormat="1" x14ac:dyDescent="0.25">
      <c r="A145" s="266"/>
      <c r="B145" s="266"/>
      <c r="C145" s="54"/>
      <c r="D145" s="267"/>
      <c r="E145" s="268"/>
      <c r="F145" s="55"/>
      <c r="G145" s="269"/>
      <c r="H145" s="269"/>
      <c r="I145" s="55"/>
      <c r="J145" s="269"/>
      <c r="K145" s="270"/>
      <c r="L145" s="269"/>
      <c r="M145" s="62"/>
      <c r="N145" s="62"/>
      <c r="O145" s="62"/>
      <c r="P145" s="62"/>
      <c r="Q145" s="62"/>
      <c r="R145" s="62"/>
      <c r="W145" s="60"/>
    </row>
    <row r="146" spans="1:23" s="214" customFormat="1" x14ac:dyDescent="0.25">
      <c r="A146" s="266"/>
      <c r="B146" s="266"/>
      <c r="C146" s="54"/>
      <c r="D146" s="267"/>
      <c r="E146" s="268"/>
      <c r="F146" s="55"/>
      <c r="G146" s="269"/>
      <c r="H146" s="269"/>
      <c r="I146" s="55"/>
      <c r="J146" s="269"/>
      <c r="K146" s="270"/>
      <c r="L146" s="269"/>
      <c r="M146" s="62"/>
      <c r="N146" s="62"/>
      <c r="O146" s="62"/>
      <c r="P146" s="62"/>
      <c r="Q146" s="62"/>
      <c r="R146" s="62"/>
      <c r="W146" s="60"/>
    </row>
    <row r="147" spans="1:23" s="214" customFormat="1" x14ac:dyDescent="0.25">
      <c r="A147" s="266"/>
      <c r="B147" s="266"/>
      <c r="C147" s="54"/>
      <c r="D147" s="267"/>
      <c r="E147" s="268"/>
      <c r="F147" s="55"/>
      <c r="G147" s="269"/>
      <c r="H147" s="269"/>
      <c r="I147" s="55"/>
      <c r="J147" s="269"/>
      <c r="K147" s="270"/>
      <c r="L147" s="269"/>
      <c r="M147" s="62"/>
      <c r="N147" s="62"/>
      <c r="O147" s="62"/>
      <c r="P147" s="62"/>
      <c r="Q147" s="62"/>
      <c r="R147" s="62"/>
      <c r="W147" s="60"/>
    </row>
    <row r="148" spans="1:23" s="214" customFormat="1" x14ac:dyDescent="0.25">
      <c r="A148" s="266"/>
      <c r="B148" s="266"/>
      <c r="C148" s="54"/>
      <c r="D148" s="267"/>
      <c r="E148" s="268"/>
      <c r="F148" s="55"/>
      <c r="G148" s="269"/>
      <c r="H148" s="269"/>
      <c r="I148" s="55"/>
      <c r="J148" s="269"/>
      <c r="K148" s="270"/>
      <c r="L148" s="269"/>
      <c r="M148" s="62"/>
      <c r="N148" s="62"/>
      <c r="O148" s="62"/>
      <c r="P148" s="62"/>
      <c r="Q148" s="62"/>
      <c r="R148" s="62"/>
      <c r="W148" s="60"/>
    </row>
    <row r="149" spans="1:23" s="214" customFormat="1" x14ac:dyDescent="0.25">
      <c r="A149" s="266"/>
      <c r="B149" s="266"/>
      <c r="C149" s="54"/>
      <c r="D149" s="267"/>
      <c r="E149" s="268"/>
      <c r="F149" s="55"/>
      <c r="G149" s="269"/>
      <c r="H149" s="269"/>
      <c r="I149" s="55"/>
      <c r="J149" s="269"/>
      <c r="K149" s="270"/>
      <c r="L149" s="269"/>
      <c r="M149" s="62"/>
      <c r="N149" s="62"/>
      <c r="O149" s="62"/>
      <c r="P149" s="62"/>
      <c r="Q149" s="62"/>
      <c r="R149" s="62"/>
      <c r="W149" s="60"/>
    </row>
    <row r="150" spans="1:23" s="214" customFormat="1" x14ac:dyDescent="0.25">
      <c r="A150" s="266"/>
      <c r="B150" s="266"/>
      <c r="C150" s="54"/>
      <c r="D150" s="267"/>
      <c r="E150" s="268"/>
      <c r="F150" s="55"/>
      <c r="G150" s="269"/>
      <c r="H150" s="269"/>
      <c r="I150" s="55"/>
      <c r="J150" s="269"/>
      <c r="K150" s="270"/>
      <c r="L150" s="269"/>
      <c r="M150" s="62"/>
      <c r="N150" s="62"/>
      <c r="O150" s="62"/>
      <c r="P150" s="62"/>
      <c r="Q150" s="62"/>
      <c r="R150" s="62"/>
      <c r="W150" s="60"/>
    </row>
    <row r="151" spans="1:23" s="214" customFormat="1" x14ac:dyDescent="0.25">
      <c r="A151" s="266"/>
      <c r="B151" s="266"/>
      <c r="C151" s="54"/>
      <c r="D151" s="267"/>
      <c r="E151" s="268"/>
      <c r="F151" s="55"/>
      <c r="G151" s="269"/>
      <c r="H151" s="269"/>
      <c r="I151" s="55"/>
      <c r="J151" s="269"/>
      <c r="K151" s="270"/>
      <c r="L151" s="269"/>
      <c r="M151" s="62"/>
      <c r="N151" s="62"/>
      <c r="O151" s="62"/>
      <c r="P151" s="62"/>
      <c r="Q151" s="62"/>
      <c r="R151" s="62"/>
      <c r="W151" s="60"/>
    </row>
    <row r="152" spans="1:23" s="214" customFormat="1" x14ac:dyDescent="0.25">
      <c r="A152" s="266"/>
      <c r="B152" s="266"/>
      <c r="C152" s="54"/>
      <c r="D152" s="267"/>
      <c r="E152" s="268"/>
      <c r="F152" s="55"/>
      <c r="G152" s="269"/>
      <c r="H152" s="269"/>
      <c r="I152" s="55"/>
      <c r="J152" s="269"/>
      <c r="K152" s="270"/>
      <c r="L152" s="269"/>
      <c r="M152" s="62"/>
      <c r="N152" s="62"/>
      <c r="O152" s="62"/>
      <c r="P152" s="62"/>
      <c r="Q152" s="62"/>
      <c r="R152" s="62"/>
      <c r="W152" s="60"/>
    </row>
    <row r="153" spans="1:23" s="214" customFormat="1" x14ac:dyDescent="0.25">
      <c r="A153" s="266"/>
      <c r="B153" s="266"/>
      <c r="C153" s="54"/>
      <c r="D153" s="267"/>
      <c r="E153" s="268"/>
      <c r="F153" s="55"/>
      <c r="G153" s="269"/>
      <c r="H153" s="269"/>
      <c r="I153" s="55"/>
      <c r="J153" s="269"/>
      <c r="K153" s="270"/>
      <c r="L153" s="269"/>
      <c r="M153" s="62"/>
      <c r="N153" s="62"/>
      <c r="O153" s="62"/>
      <c r="P153" s="62"/>
      <c r="Q153" s="62"/>
      <c r="R153" s="62"/>
      <c r="W153" s="60"/>
    </row>
    <row r="154" spans="1:23" s="214" customFormat="1" x14ac:dyDescent="0.25">
      <c r="A154" s="266"/>
      <c r="B154" s="266"/>
      <c r="C154" s="54"/>
      <c r="D154" s="267"/>
      <c r="E154" s="268"/>
      <c r="F154" s="55"/>
      <c r="G154" s="269"/>
      <c r="H154" s="269"/>
      <c r="I154" s="55"/>
      <c r="J154" s="269"/>
      <c r="K154" s="270"/>
      <c r="L154" s="269"/>
      <c r="M154" s="62"/>
      <c r="N154" s="62"/>
      <c r="O154" s="62"/>
      <c r="P154" s="62"/>
      <c r="Q154" s="62"/>
      <c r="R154" s="62"/>
      <c r="W154" s="60"/>
    </row>
    <row r="155" spans="1:23" s="214" customFormat="1" x14ac:dyDescent="0.25">
      <c r="A155" s="266"/>
      <c r="B155" s="266"/>
      <c r="C155" s="54"/>
      <c r="D155" s="267"/>
      <c r="E155" s="268"/>
      <c r="F155" s="55"/>
      <c r="G155" s="269"/>
      <c r="H155" s="269"/>
      <c r="I155" s="55"/>
      <c r="J155" s="269"/>
      <c r="K155" s="270"/>
      <c r="L155" s="269"/>
      <c r="M155" s="62"/>
      <c r="N155" s="62"/>
      <c r="O155" s="62"/>
      <c r="P155" s="62"/>
      <c r="Q155" s="62"/>
      <c r="R155" s="62"/>
      <c r="W155" s="60"/>
    </row>
    <row r="156" spans="1:23" s="214" customFormat="1" x14ac:dyDescent="0.25">
      <c r="A156" s="266"/>
      <c r="B156" s="266"/>
      <c r="C156" s="54"/>
      <c r="D156" s="267"/>
      <c r="E156" s="268"/>
      <c r="F156" s="55"/>
      <c r="G156" s="269"/>
      <c r="H156" s="269"/>
      <c r="I156" s="55"/>
      <c r="J156" s="269"/>
      <c r="K156" s="270"/>
      <c r="L156" s="269"/>
      <c r="M156" s="62"/>
      <c r="N156" s="62"/>
      <c r="O156" s="62"/>
      <c r="P156" s="62"/>
      <c r="Q156" s="62"/>
      <c r="R156" s="62"/>
      <c r="W156" s="60"/>
    </row>
    <row r="157" spans="1:23" s="214" customFormat="1" x14ac:dyDescent="0.25">
      <c r="A157" s="266"/>
      <c r="B157" s="266"/>
      <c r="C157" s="54"/>
      <c r="D157" s="267"/>
      <c r="E157" s="268"/>
      <c r="F157" s="55"/>
      <c r="G157" s="269"/>
      <c r="H157" s="269"/>
      <c r="I157" s="55"/>
      <c r="J157" s="269"/>
      <c r="K157" s="270"/>
      <c r="L157" s="269"/>
      <c r="M157" s="62"/>
      <c r="N157" s="62"/>
      <c r="O157" s="62"/>
      <c r="P157" s="62"/>
      <c r="Q157" s="62"/>
      <c r="R157" s="62"/>
      <c r="W157" s="60"/>
    </row>
    <row r="158" spans="1:23" s="214" customFormat="1" x14ac:dyDescent="0.25">
      <c r="A158" s="266"/>
      <c r="B158" s="266"/>
      <c r="C158" s="54"/>
      <c r="D158" s="267"/>
      <c r="E158" s="268"/>
      <c r="F158" s="55"/>
      <c r="G158" s="269"/>
      <c r="H158" s="269"/>
      <c r="I158" s="55"/>
      <c r="J158" s="269"/>
      <c r="K158" s="270"/>
      <c r="L158" s="269"/>
      <c r="M158" s="62"/>
      <c r="N158" s="62"/>
      <c r="O158" s="62"/>
      <c r="P158" s="62"/>
      <c r="Q158" s="62"/>
      <c r="R158" s="62"/>
      <c r="W158" s="60"/>
    </row>
    <row r="159" spans="1:23" s="214" customFormat="1" x14ac:dyDescent="0.25">
      <c r="A159" s="266"/>
      <c r="B159" s="266"/>
      <c r="C159" s="54"/>
      <c r="D159" s="267"/>
      <c r="E159" s="268"/>
      <c r="F159" s="55"/>
      <c r="G159" s="269"/>
      <c r="H159" s="269"/>
      <c r="I159" s="55"/>
      <c r="J159" s="269"/>
      <c r="K159" s="270"/>
      <c r="L159" s="269"/>
      <c r="M159" s="62"/>
      <c r="N159" s="62"/>
      <c r="O159" s="62"/>
      <c r="P159" s="62"/>
      <c r="Q159" s="62"/>
      <c r="R159" s="62"/>
      <c r="W159" s="60"/>
    </row>
    <row r="160" spans="1:23" s="214" customFormat="1" x14ac:dyDescent="0.25">
      <c r="A160" s="266"/>
      <c r="B160" s="266"/>
      <c r="C160" s="54"/>
      <c r="D160" s="267"/>
      <c r="E160" s="268"/>
      <c r="F160" s="55"/>
      <c r="G160" s="269"/>
      <c r="H160" s="269"/>
      <c r="I160" s="55"/>
      <c r="J160" s="269"/>
      <c r="K160" s="270"/>
      <c r="L160" s="269"/>
      <c r="M160" s="62"/>
      <c r="N160" s="62"/>
      <c r="O160" s="62"/>
      <c r="P160" s="62"/>
      <c r="Q160" s="62"/>
      <c r="R160" s="62"/>
      <c r="W160" s="60"/>
    </row>
    <row r="161" spans="1:23" s="214" customFormat="1" x14ac:dyDescent="0.25">
      <c r="A161" s="266"/>
      <c r="B161" s="266"/>
      <c r="C161" s="54"/>
      <c r="D161" s="267"/>
      <c r="E161" s="268"/>
      <c r="F161" s="55"/>
      <c r="G161" s="269"/>
      <c r="H161" s="269"/>
      <c r="I161" s="55"/>
      <c r="J161" s="269"/>
      <c r="K161" s="270"/>
      <c r="L161" s="269"/>
      <c r="M161" s="62"/>
      <c r="N161" s="62"/>
      <c r="O161" s="62"/>
      <c r="P161" s="62"/>
      <c r="Q161" s="62"/>
      <c r="R161" s="62"/>
      <c r="W161" s="60"/>
    </row>
    <row r="162" spans="1:23" s="214" customFormat="1" x14ac:dyDescent="0.25">
      <c r="A162" s="266"/>
      <c r="B162" s="266"/>
      <c r="C162" s="54"/>
      <c r="D162" s="267"/>
      <c r="E162" s="268"/>
      <c r="F162" s="55"/>
      <c r="G162" s="269"/>
      <c r="H162" s="269"/>
      <c r="I162" s="55"/>
      <c r="J162" s="269"/>
      <c r="K162" s="270"/>
      <c r="L162" s="269"/>
      <c r="M162" s="62"/>
      <c r="N162" s="62"/>
      <c r="O162" s="62"/>
      <c r="P162" s="62"/>
      <c r="Q162" s="62"/>
      <c r="R162" s="62"/>
      <c r="W162" s="60"/>
    </row>
    <row r="163" spans="1:23" s="214" customFormat="1" x14ac:dyDescent="0.25">
      <c r="A163" s="266"/>
      <c r="B163" s="266"/>
      <c r="C163" s="54"/>
      <c r="D163" s="267"/>
      <c r="E163" s="268"/>
      <c r="F163" s="55"/>
      <c r="G163" s="269"/>
      <c r="H163" s="269"/>
      <c r="I163" s="55"/>
      <c r="J163" s="269"/>
      <c r="K163" s="270"/>
      <c r="L163" s="269"/>
      <c r="M163" s="62"/>
      <c r="N163" s="62"/>
      <c r="O163" s="62"/>
      <c r="P163" s="62"/>
      <c r="Q163" s="62"/>
      <c r="R163" s="62"/>
      <c r="W163" s="60"/>
    </row>
    <row r="164" spans="1:23" s="214" customFormat="1" x14ac:dyDescent="0.25">
      <c r="A164" s="266"/>
      <c r="B164" s="266"/>
      <c r="C164" s="54"/>
      <c r="D164" s="267"/>
      <c r="E164" s="268"/>
      <c r="F164" s="55"/>
      <c r="G164" s="269"/>
      <c r="H164" s="269"/>
      <c r="I164" s="55"/>
      <c r="J164" s="269"/>
      <c r="K164" s="270"/>
      <c r="L164" s="269"/>
      <c r="M164" s="62"/>
      <c r="N164" s="62"/>
      <c r="O164" s="62"/>
      <c r="P164" s="62"/>
      <c r="Q164" s="62"/>
      <c r="R164" s="62"/>
      <c r="W164" s="60"/>
    </row>
    <row r="165" spans="1:23" s="214" customFormat="1" x14ac:dyDescent="0.25">
      <c r="A165" s="266"/>
      <c r="B165" s="266"/>
      <c r="C165" s="54"/>
      <c r="D165" s="267"/>
      <c r="E165" s="268"/>
      <c r="F165" s="55"/>
      <c r="G165" s="269"/>
      <c r="H165" s="269"/>
      <c r="I165" s="55"/>
      <c r="J165" s="269"/>
      <c r="K165" s="270"/>
      <c r="L165" s="269"/>
      <c r="M165" s="62"/>
      <c r="N165" s="62"/>
      <c r="O165" s="62"/>
      <c r="P165" s="62"/>
      <c r="Q165" s="62"/>
      <c r="R165" s="62"/>
      <c r="W165" s="60"/>
    </row>
    <row r="166" spans="1:23" s="214" customFormat="1" x14ac:dyDescent="0.25">
      <c r="A166" s="266"/>
      <c r="B166" s="266"/>
      <c r="C166" s="54"/>
      <c r="D166" s="267"/>
      <c r="E166" s="268"/>
      <c r="F166" s="55"/>
      <c r="G166" s="269"/>
      <c r="H166" s="269"/>
      <c r="I166" s="55"/>
      <c r="J166" s="269"/>
      <c r="K166" s="270"/>
      <c r="L166" s="269"/>
      <c r="M166" s="62"/>
      <c r="N166" s="62"/>
      <c r="O166" s="62"/>
      <c r="P166" s="62"/>
      <c r="Q166" s="62"/>
      <c r="R166" s="62"/>
      <c r="W166" s="60"/>
    </row>
    <row r="167" spans="1:23" s="214" customFormat="1" x14ac:dyDescent="0.25">
      <c r="A167" s="266"/>
      <c r="B167" s="266"/>
      <c r="C167" s="54"/>
      <c r="D167" s="267"/>
      <c r="E167" s="268"/>
      <c r="F167" s="55"/>
      <c r="G167" s="269"/>
      <c r="H167" s="269"/>
      <c r="I167" s="55"/>
      <c r="J167" s="269"/>
      <c r="K167" s="270"/>
      <c r="L167" s="269"/>
      <c r="M167" s="62"/>
      <c r="N167" s="62"/>
      <c r="O167" s="62"/>
      <c r="P167" s="62"/>
      <c r="Q167" s="62"/>
      <c r="R167" s="62"/>
      <c r="W167" s="60"/>
    </row>
    <row r="168" spans="1:23" s="214" customFormat="1" x14ac:dyDescent="0.25">
      <c r="A168" s="266"/>
      <c r="B168" s="266"/>
      <c r="C168" s="54"/>
      <c r="D168" s="267"/>
      <c r="E168" s="268"/>
      <c r="F168" s="55"/>
      <c r="G168" s="269"/>
      <c r="H168" s="269"/>
      <c r="I168" s="55"/>
      <c r="J168" s="269"/>
      <c r="K168" s="270"/>
      <c r="L168" s="269"/>
      <c r="M168" s="62"/>
      <c r="N168" s="62"/>
      <c r="O168" s="62"/>
      <c r="P168" s="62"/>
      <c r="Q168" s="62"/>
      <c r="R168" s="62"/>
      <c r="W168" s="60"/>
    </row>
    <row r="169" spans="1:23" s="214" customFormat="1" x14ac:dyDescent="0.25">
      <c r="A169" s="266"/>
      <c r="B169" s="266"/>
      <c r="C169" s="54"/>
      <c r="D169" s="267"/>
      <c r="E169" s="268"/>
      <c r="F169" s="55"/>
      <c r="G169" s="269"/>
      <c r="H169" s="269"/>
      <c r="I169" s="55"/>
      <c r="J169" s="269"/>
      <c r="K169" s="270"/>
      <c r="L169" s="269"/>
      <c r="M169" s="62"/>
      <c r="N169" s="62"/>
      <c r="O169" s="62"/>
      <c r="P169" s="62"/>
      <c r="Q169" s="62"/>
      <c r="R169" s="62"/>
      <c r="W169" s="60"/>
    </row>
    <row r="170" spans="1:23" s="214" customFormat="1" x14ac:dyDescent="0.25">
      <c r="A170" s="266"/>
      <c r="B170" s="266"/>
      <c r="C170" s="54"/>
      <c r="D170" s="267"/>
      <c r="E170" s="268"/>
      <c r="F170" s="55"/>
      <c r="G170" s="269"/>
      <c r="H170" s="269"/>
      <c r="I170" s="55"/>
      <c r="J170" s="269"/>
      <c r="K170" s="270"/>
      <c r="L170" s="269"/>
      <c r="M170" s="62"/>
      <c r="N170" s="62"/>
      <c r="O170" s="62"/>
      <c r="P170" s="62"/>
      <c r="Q170" s="62"/>
      <c r="R170" s="62"/>
      <c r="W170" s="60"/>
    </row>
    <row r="171" spans="1:23" s="214" customFormat="1" x14ac:dyDescent="0.25">
      <c r="A171" s="266"/>
      <c r="B171" s="266"/>
      <c r="C171" s="54"/>
      <c r="D171" s="267"/>
      <c r="E171" s="268"/>
      <c r="F171" s="55"/>
      <c r="G171" s="269"/>
      <c r="H171" s="269"/>
      <c r="I171" s="55"/>
      <c r="J171" s="269"/>
      <c r="K171" s="270"/>
      <c r="L171" s="269"/>
      <c r="M171" s="62"/>
      <c r="N171" s="62"/>
      <c r="O171" s="62"/>
      <c r="P171" s="62"/>
      <c r="Q171" s="62"/>
      <c r="R171" s="62"/>
      <c r="W171" s="60"/>
    </row>
    <row r="172" spans="1:23" s="214" customFormat="1" x14ac:dyDescent="0.25">
      <c r="A172" s="266"/>
      <c r="B172" s="266"/>
      <c r="C172" s="54"/>
      <c r="D172" s="267"/>
      <c r="E172" s="268"/>
      <c r="F172" s="55"/>
      <c r="G172" s="269"/>
      <c r="H172" s="269"/>
      <c r="I172" s="55"/>
      <c r="J172" s="269"/>
      <c r="K172" s="270"/>
      <c r="L172" s="269"/>
      <c r="M172" s="62"/>
      <c r="N172" s="62"/>
      <c r="O172" s="62"/>
      <c r="P172" s="62"/>
      <c r="Q172" s="62"/>
      <c r="R172" s="62"/>
      <c r="W172" s="60"/>
    </row>
    <row r="173" spans="1:23" s="214" customFormat="1" x14ac:dyDescent="0.25">
      <c r="A173" s="266"/>
      <c r="B173" s="266"/>
      <c r="C173" s="54"/>
      <c r="D173" s="267"/>
      <c r="E173" s="268"/>
      <c r="F173" s="55"/>
      <c r="G173" s="269"/>
      <c r="H173" s="269"/>
      <c r="I173" s="55"/>
      <c r="J173" s="269"/>
      <c r="K173" s="270"/>
      <c r="L173" s="269"/>
      <c r="M173" s="62"/>
      <c r="N173" s="62"/>
      <c r="O173" s="62"/>
      <c r="P173" s="62"/>
      <c r="Q173" s="62"/>
      <c r="R173" s="62"/>
      <c r="W173" s="60"/>
    </row>
    <row r="174" spans="1:23" s="214" customFormat="1" x14ac:dyDescent="0.25">
      <c r="A174" s="266"/>
      <c r="B174" s="266"/>
      <c r="C174" s="54"/>
      <c r="D174" s="267"/>
      <c r="E174" s="268"/>
      <c r="F174" s="55"/>
      <c r="G174" s="269"/>
      <c r="H174" s="269"/>
      <c r="I174" s="55"/>
      <c r="J174" s="269"/>
      <c r="K174" s="270"/>
      <c r="L174" s="269"/>
      <c r="M174" s="62"/>
      <c r="N174" s="62"/>
      <c r="O174" s="62"/>
      <c r="P174" s="62"/>
      <c r="Q174" s="62"/>
      <c r="R174" s="62"/>
      <c r="W174" s="60"/>
    </row>
    <row r="175" spans="1:23" s="214" customFormat="1" x14ac:dyDescent="0.25">
      <c r="A175" s="266"/>
      <c r="B175" s="266"/>
      <c r="C175" s="54"/>
      <c r="D175" s="267"/>
      <c r="E175" s="268"/>
      <c r="F175" s="55"/>
      <c r="G175" s="269"/>
      <c r="H175" s="269"/>
      <c r="I175" s="55"/>
      <c r="J175" s="269"/>
      <c r="K175" s="270"/>
      <c r="L175" s="269"/>
      <c r="M175" s="62"/>
      <c r="N175" s="62"/>
      <c r="O175" s="62"/>
      <c r="P175" s="62"/>
      <c r="Q175" s="62"/>
      <c r="R175" s="62"/>
      <c r="W175" s="60"/>
    </row>
    <row r="176" spans="1:23" s="214" customFormat="1" x14ac:dyDescent="0.25">
      <c r="A176" s="266"/>
      <c r="B176" s="266"/>
      <c r="C176" s="54"/>
      <c r="D176" s="267"/>
      <c r="E176" s="268"/>
      <c r="F176" s="55"/>
      <c r="G176" s="269"/>
      <c r="H176" s="269"/>
      <c r="I176" s="55"/>
      <c r="J176" s="269"/>
      <c r="K176" s="270"/>
      <c r="L176" s="269"/>
      <c r="M176" s="62"/>
      <c r="N176" s="62"/>
      <c r="O176" s="62"/>
      <c r="P176" s="62"/>
      <c r="Q176" s="62"/>
      <c r="R176" s="62"/>
      <c r="W176" s="60"/>
    </row>
    <row r="177" spans="1:23" s="214" customFormat="1" x14ac:dyDescent="0.25">
      <c r="A177" s="266"/>
      <c r="B177" s="266"/>
      <c r="C177" s="54"/>
      <c r="D177" s="267"/>
      <c r="E177" s="268"/>
      <c r="F177" s="55"/>
      <c r="G177" s="269"/>
      <c r="H177" s="269"/>
      <c r="I177" s="55"/>
      <c r="J177" s="269"/>
      <c r="K177" s="270"/>
      <c r="L177" s="269"/>
      <c r="M177" s="62"/>
      <c r="N177" s="62"/>
      <c r="O177" s="62"/>
      <c r="P177" s="62"/>
      <c r="Q177" s="62"/>
      <c r="R177" s="62"/>
      <c r="W177" s="60"/>
    </row>
    <row r="178" spans="1:23" s="214" customFormat="1" x14ac:dyDescent="0.25">
      <c r="A178" s="266"/>
      <c r="B178" s="266"/>
      <c r="C178" s="54"/>
      <c r="D178" s="267"/>
      <c r="E178" s="268"/>
      <c r="F178" s="55"/>
      <c r="G178" s="269"/>
      <c r="H178" s="269"/>
      <c r="I178" s="55"/>
      <c r="J178" s="269"/>
      <c r="K178" s="270"/>
      <c r="L178" s="269"/>
      <c r="M178" s="62"/>
      <c r="N178" s="62"/>
      <c r="O178" s="62"/>
      <c r="P178" s="62"/>
      <c r="Q178" s="62"/>
      <c r="R178" s="62"/>
      <c r="W178" s="60"/>
    </row>
    <row r="179" spans="1:23" s="214" customFormat="1" x14ac:dyDescent="0.25">
      <c r="A179" s="266"/>
      <c r="B179" s="266"/>
      <c r="C179" s="54"/>
      <c r="D179" s="267"/>
      <c r="E179" s="268"/>
      <c r="F179" s="55"/>
      <c r="G179" s="269"/>
      <c r="H179" s="269"/>
      <c r="I179" s="55"/>
      <c r="J179" s="269"/>
      <c r="K179" s="270"/>
      <c r="L179" s="269"/>
      <c r="M179" s="62"/>
      <c r="N179" s="62"/>
      <c r="O179" s="62"/>
      <c r="P179" s="62"/>
      <c r="Q179" s="62"/>
      <c r="R179" s="62"/>
      <c r="W179" s="60"/>
    </row>
    <row r="180" spans="1:23" s="214" customFormat="1" x14ac:dyDescent="0.25">
      <c r="A180" s="266"/>
      <c r="B180" s="266"/>
      <c r="C180" s="54"/>
      <c r="D180" s="267"/>
      <c r="E180" s="268"/>
      <c r="F180" s="55"/>
      <c r="G180" s="269"/>
      <c r="H180" s="269"/>
      <c r="I180" s="55"/>
      <c r="J180" s="269"/>
      <c r="K180" s="270"/>
      <c r="L180" s="269"/>
      <c r="M180" s="62"/>
      <c r="N180" s="62"/>
      <c r="O180" s="62"/>
      <c r="P180" s="62"/>
      <c r="Q180" s="62"/>
      <c r="R180" s="62"/>
      <c r="W180" s="60"/>
    </row>
    <row r="181" spans="1:23" s="214" customFormat="1" x14ac:dyDescent="0.25">
      <c r="A181" s="266"/>
      <c r="B181" s="266"/>
      <c r="C181" s="54"/>
      <c r="D181" s="267"/>
      <c r="E181" s="268"/>
      <c r="F181" s="55"/>
      <c r="G181" s="269"/>
      <c r="H181" s="269"/>
      <c r="I181" s="55"/>
      <c r="J181" s="269"/>
      <c r="K181" s="270"/>
      <c r="L181" s="269"/>
      <c r="M181" s="62"/>
      <c r="N181" s="62"/>
      <c r="O181" s="62"/>
      <c r="P181" s="62"/>
      <c r="Q181" s="62"/>
      <c r="R181" s="62"/>
      <c r="W181" s="60"/>
    </row>
    <row r="182" spans="1:23" s="214" customFormat="1" x14ac:dyDescent="0.25">
      <c r="A182" s="266"/>
      <c r="B182" s="266"/>
      <c r="C182" s="54"/>
      <c r="D182" s="267"/>
      <c r="E182" s="268"/>
      <c r="F182" s="55"/>
      <c r="G182" s="269"/>
      <c r="H182" s="269"/>
      <c r="I182" s="55"/>
      <c r="J182" s="269"/>
      <c r="K182" s="270"/>
      <c r="L182" s="269"/>
      <c r="M182" s="62"/>
      <c r="N182" s="62"/>
      <c r="O182" s="62"/>
      <c r="P182" s="62"/>
      <c r="Q182" s="62"/>
      <c r="R182" s="62"/>
      <c r="W182" s="60"/>
    </row>
    <row r="183" spans="1:23" s="214" customFormat="1" x14ac:dyDescent="0.25">
      <c r="A183" s="266"/>
      <c r="B183" s="266"/>
      <c r="C183" s="54"/>
      <c r="D183" s="267"/>
      <c r="E183" s="268"/>
      <c r="F183" s="55"/>
      <c r="G183" s="269"/>
      <c r="H183" s="269"/>
      <c r="I183" s="55"/>
      <c r="J183" s="269"/>
      <c r="K183" s="270"/>
      <c r="L183" s="269"/>
      <c r="M183" s="62"/>
      <c r="N183" s="62"/>
      <c r="O183" s="62"/>
      <c r="P183" s="62"/>
      <c r="Q183" s="62"/>
      <c r="R183" s="62"/>
      <c r="W183" s="60"/>
    </row>
    <row r="184" spans="1:23" s="214" customFormat="1" x14ac:dyDescent="0.25">
      <c r="A184" s="266"/>
      <c r="B184" s="266"/>
      <c r="C184" s="54"/>
      <c r="D184" s="267"/>
      <c r="E184" s="268"/>
      <c r="F184" s="55"/>
      <c r="G184" s="269"/>
      <c r="H184" s="269"/>
      <c r="I184" s="55"/>
      <c r="J184" s="269"/>
      <c r="K184" s="270"/>
      <c r="L184" s="269"/>
      <c r="M184" s="62"/>
      <c r="N184" s="62"/>
      <c r="O184" s="62"/>
      <c r="P184" s="62"/>
      <c r="Q184" s="62"/>
      <c r="R184" s="62"/>
      <c r="W184" s="60"/>
    </row>
    <row r="185" spans="1:23" s="214" customFormat="1" x14ac:dyDescent="0.25">
      <c r="A185" s="266"/>
      <c r="B185" s="266"/>
      <c r="C185" s="54"/>
      <c r="D185" s="267"/>
      <c r="E185" s="268"/>
      <c r="F185" s="55"/>
      <c r="G185" s="269"/>
      <c r="H185" s="269"/>
      <c r="I185" s="55"/>
      <c r="J185" s="269"/>
      <c r="K185" s="270"/>
      <c r="L185" s="269"/>
      <c r="M185" s="62"/>
      <c r="N185" s="62"/>
      <c r="O185" s="62"/>
      <c r="P185" s="62"/>
      <c r="Q185" s="62"/>
      <c r="R185" s="62"/>
      <c r="W185" s="60"/>
    </row>
    <row r="186" spans="1:23" s="214" customFormat="1" x14ac:dyDescent="0.25">
      <c r="A186" s="266"/>
      <c r="B186" s="266"/>
      <c r="C186" s="54"/>
      <c r="D186" s="267"/>
      <c r="E186" s="268"/>
      <c r="F186" s="55"/>
      <c r="G186" s="269"/>
      <c r="H186" s="269"/>
      <c r="I186" s="55"/>
      <c r="J186" s="269"/>
      <c r="K186" s="270"/>
      <c r="L186" s="269"/>
      <c r="M186" s="62"/>
      <c r="N186" s="62"/>
      <c r="O186" s="62"/>
      <c r="P186" s="62"/>
      <c r="Q186" s="62"/>
      <c r="R186" s="62"/>
      <c r="W186" s="60"/>
    </row>
    <row r="187" spans="1:23" s="214" customFormat="1" x14ac:dyDescent="0.25">
      <c r="A187" s="266"/>
      <c r="B187" s="266"/>
      <c r="C187" s="54"/>
      <c r="D187" s="267"/>
      <c r="E187" s="268"/>
      <c r="F187" s="55"/>
      <c r="G187" s="269"/>
      <c r="H187" s="269"/>
      <c r="I187" s="55"/>
      <c r="J187" s="269"/>
      <c r="K187" s="270"/>
      <c r="L187" s="269"/>
      <c r="M187" s="62"/>
      <c r="N187" s="62"/>
      <c r="O187" s="62"/>
      <c r="P187" s="62"/>
      <c r="Q187" s="62"/>
      <c r="R187" s="62"/>
      <c r="W187" s="60"/>
    </row>
    <row r="188" spans="1:23" s="214" customFormat="1" x14ac:dyDescent="0.25">
      <c r="A188" s="266"/>
      <c r="B188" s="266"/>
      <c r="C188" s="54"/>
      <c r="D188" s="267"/>
      <c r="E188" s="268"/>
      <c r="F188" s="55"/>
      <c r="G188" s="269"/>
      <c r="H188" s="269"/>
      <c r="I188" s="55"/>
      <c r="J188" s="269"/>
      <c r="K188" s="270"/>
      <c r="L188" s="269"/>
      <c r="M188" s="62"/>
      <c r="N188" s="62"/>
      <c r="O188" s="62"/>
      <c r="P188" s="62"/>
      <c r="Q188" s="62"/>
      <c r="R188" s="62"/>
      <c r="W188" s="60"/>
    </row>
    <row r="189" spans="1:23" s="214" customFormat="1" x14ac:dyDescent="0.25">
      <c r="A189" s="266"/>
      <c r="B189" s="266"/>
      <c r="C189" s="54"/>
      <c r="D189" s="267"/>
      <c r="E189" s="268"/>
      <c r="F189" s="55"/>
      <c r="G189" s="269"/>
      <c r="H189" s="269"/>
      <c r="I189" s="55"/>
      <c r="J189" s="269"/>
      <c r="K189" s="270"/>
      <c r="L189" s="269"/>
      <c r="M189" s="62"/>
      <c r="N189" s="62"/>
      <c r="O189" s="62"/>
      <c r="P189" s="62"/>
      <c r="Q189" s="62"/>
      <c r="R189" s="62"/>
      <c r="W189" s="60"/>
    </row>
    <row r="190" spans="1:23" s="214" customFormat="1" x14ac:dyDescent="0.25">
      <c r="A190" s="266"/>
      <c r="B190" s="266"/>
      <c r="C190" s="54"/>
      <c r="D190" s="267"/>
      <c r="E190" s="268"/>
      <c r="F190" s="55"/>
      <c r="G190" s="269"/>
      <c r="H190" s="269"/>
      <c r="I190" s="55"/>
      <c r="J190" s="269"/>
      <c r="K190" s="270"/>
      <c r="L190" s="269"/>
      <c r="M190" s="62"/>
      <c r="N190" s="62"/>
      <c r="O190" s="62"/>
      <c r="P190" s="62"/>
      <c r="Q190" s="62"/>
      <c r="R190" s="62"/>
      <c r="W190" s="60"/>
    </row>
    <row r="191" spans="1:23" s="214" customFormat="1" x14ac:dyDescent="0.25">
      <c r="A191" s="266"/>
      <c r="B191" s="266"/>
      <c r="C191" s="54"/>
      <c r="D191" s="267"/>
      <c r="E191" s="268"/>
      <c r="F191" s="55"/>
      <c r="G191" s="269"/>
      <c r="H191" s="269"/>
      <c r="I191" s="55"/>
      <c r="J191" s="269"/>
      <c r="K191" s="270"/>
      <c r="L191" s="269"/>
      <c r="M191" s="62"/>
      <c r="N191" s="62"/>
      <c r="O191" s="62"/>
      <c r="P191" s="62"/>
      <c r="Q191" s="62"/>
      <c r="R191" s="62"/>
      <c r="W191" s="60"/>
    </row>
    <row r="192" spans="1:23" s="214" customFormat="1" x14ac:dyDescent="0.25">
      <c r="A192" s="266"/>
      <c r="B192" s="266"/>
      <c r="C192" s="54"/>
      <c r="D192" s="267"/>
      <c r="E192" s="268"/>
      <c r="F192" s="55"/>
      <c r="G192" s="269"/>
      <c r="H192" s="269"/>
      <c r="I192" s="55"/>
      <c r="J192" s="269"/>
      <c r="K192" s="270"/>
      <c r="L192" s="269"/>
      <c r="M192" s="62"/>
      <c r="N192" s="62"/>
      <c r="O192" s="62"/>
      <c r="P192" s="62"/>
      <c r="Q192" s="62"/>
      <c r="R192" s="62"/>
      <c r="W192" s="60"/>
    </row>
    <row r="193" spans="1:23" s="214" customFormat="1" x14ac:dyDescent="0.25">
      <c r="A193" s="266"/>
      <c r="B193" s="266"/>
      <c r="C193" s="54"/>
      <c r="D193" s="267"/>
      <c r="E193" s="268"/>
      <c r="F193" s="55"/>
      <c r="G193" s="269"/>
      <c r="H193" s="269"/>
      <c r="I193" s="55"/>
      <c r="J193" s="269"/>
      <c r="K193" s="270"/>
      <c r="L193" s="269"/>
      <c r="M193" s="62"/>
      <c r="N193" s="62"/>
      <c r="O193" s="62"/>
      <c r="P193" s="62"/>
      <c r="Q193" s="62"/>
      <c r="R193" s="62"/>
      <c r="W193" s="60"/>
    </row>
    <row r="194" spans="1:23" s="214" customFormat="1" x14ac:dyDescent="0.25">
      <c r="A194" s="266"/>
      <c r="B194" s="266"/>
      <c r="C194" s="54"/>
      <c r="D194" s="267"/>
      <c r="E194" s="268"/>
      <c r="F194" s="55"/>
      <c r="G194" s="269"/>
      <c r="H194" s="269"/>
      <c r="I194" s="55"/>
      <c r="J194" s="269"/>
      <c r="K194" s="270"/>
      <c r="L194" s="269"/>
      <c r="M194" s="62"/>
      <c r="N194" s="62"/>
      <c r="O194" s="62"/>
      <c r="P194" s="62"/>
      <c r="Q194" s="62"/>
      <c r="R194" s="62"/>
      <c r="W194" s="60"/>
    </row>
    <row r="195" spans="1:23" s="214" customFormat="1" x14ac:dyDescent="0.25">
      <c r="A195" s="266"/>
      <c r="B195" s="266"/>
      <c r="C195" s="54"/>
      <c r="D195" s="267"/>
      <c r="E195" s="268"/>
      <c r="F195" s="55"/>
      <c r="G195" s="269"/>
      <c r="H195" s="269"/>
      <c r="I195" s="55"/>
      <c r="J195" s="269"/>
      <c r="K195" s="270"/>
      <c r="L195" s="269"/>
      <c r="M195" s="62"/>
      <c r="N195" s="62"/>
      <c r="O195" s="62"/>
      <c r="P195" s="62"/>
      <c r="Q195" s="62"/>
      <c r="R195" s="62"/>
      <c r="W195" s="60"/>
    </row>
    <row r="196" spans="1:23" s="214" customFormat="1" x14ac:dyDescent="0.25">
      <c r="A196" s="266"/>
      <c r="B196" s="266"/>
      <c r="C196" s="54"/>
      <c r="D196" s="267"/>
      <c r="E196" s="268"/>
      <c r="F196" s="55"/>
      <c r="G196" s="269"/>
      <c r="H196" s="269"/>
      <c r="I196" s="55"/>
      <c r="J196" s="269"/>
      <c r="K196" s="270"/>
      <c r="L196" s="269"/>
      <c r="M196" s="62"/>
      <c r="N196" s="62"/>
      <c r="O196" s="62"/>
      <c r="P196" s="62"/>
      <c r="Q196" s="62"/>
      <c r="R196" s="62"/>
      <c r="W196" s="60"/>
    </row>
    <row r="197" spans="1:23" s="214" customFormat="1" x14ac:dyDescent="0.25">
      <c r="A197" s="266"/>
      <c r="B197" s="266"/>
      <c r="C197" s="54"/>
      <c r="D197" s="267"/>
      <c r="E197" s="268"/>
      <c r="F197" s="55"/>
      <c r="G197" s="269"/>
      <c r="H197" s="269"/>
      <c r="I197" s="55"/>
      <c r="J197" s="269"/>
      <c r="K197" s="270"/>
      <c r="L197" s="269"/>
      <c r="M197" s="62"/>
      <c r="N197" s="62"/>
      <c r="O197" s="62"/>
      <c r="P197" s="62"/>
      <c r="Q197" s="62"/>
      <c r="R197" s="62"/>
      <c r="W197" s="60"/>
    </row>
    <row r="198" spans="1:23" s="214" customFormat="1" x14ac:dyDescent="0.25">
      <c r="A198" s="266"/>
      <c r="B198" s="266"/>
      <c r="C198" s="54"/>
      <c r="D198" s="267"/>
      <c r="E198" s="268"/>
      <c r="F198" s="55"/>
      <c r="G198" s="269"/>
      <c r="H198" s="269"/>
      <c r="I198" s="55"/>
      <c r="J198" s="269"/>
      <c r="K198" s="270"/>
      <c r="L198" s="269"/>
      <c r="M198" s="62"/>
      <c r="N198" s="62"/>
      <c r="O198" s="62"/>
      <c r="P198" s="62"/>
      <c r="Q198" s="62"/>
      <c r="R198" s="62"/>
      <c r="W198" s="60"/>
    </row>
    <row r="199" spans="1:23" s="214" customFormat="1" x14ac:dyDescent="0.25">
      <c r="A199" s="266"/>
      <c r="B199" s="266"/>
      <c r="C199" s="54"/>
      <c r="D199" s="267"/>
      <c r="E199" s="268"/>
      <c r="F199" s="55"/>
      <c r="G199" s="269"/>
      <c r="H199" s="269"/>
      <c r="I199" s="55"/>
      <c r="J199" s="269"/>
      <c r="K199" s="270"/>
      <c r="L199" s="269"/>
      <c r="M199" s="62"/>
      <c r="N199" s="62"/>
      <c r="O199" s="62"/>
      <c r="P199" s="62"/>
      <c r="Q199" s="62"/>
      <c r="R199" s="62"/>
      <c r="W199" s="60"/>
    </row>
    <row r="200" spans="1:23" s="214" customFormat="1" x14ac:dyDescent="0.25">
      <c r="A200" s="266"/>
      <c r="B200" s="266"/>
      <c r="C200" s="54"/>
      <c r="D200" s="267"/>
      <c r="E200" s="268"/>
      <c r="F200" s="55"/>
      <c r="G200" s="269"/>
      <c r="H200" s="269"/>
      <c r="I200" s="55"/>
      <c r="J200" s="269"/>
      <c r="K200" s="270"/>
      <c r="L200" s="269"/>
      <c r="M200" s="62"/>
      <c r="N200" s="62"/>
      <c r="O200" s="62"/>
      <c r="P200" s="62"/>
      <c r="Q200" s="62"/>
      <c r="R200" s="62"/>
      <c r="W200" s="60"/>
    </row>
    <row r="201" spans="1:23" s="214" customFormat="1" x14ac:dyDescent="0.25">
      <c r="A201" s="266"/>
      <c r="B201" s="266"/>
      <c r="C201" s="54"/>
      <c r="D201" s="267"/>
      <c r="E201" s="268"/>
      <c r="F201" s="55"/>
      <c r="G201" s="269"/>
      <c r="H201" s="269"/>
      <c r="I201" s="55"/>
      <c r="J201" s="269"/>
      <c r="K201" s="270"/>
      <c r="L201" s="269"/>
      <c r="M201" s="62"/>
      <c r="N201" s="62"/>
      <c r="O201" s="62"/>
      <c r="P201" s="62"/>
      <c r="Q201" s="62"/>
      <c r="R201" s="62"/>
      <c r="W201" s="60"/>
    </row>
    <row r="202" spans="1:23" s="214" customFormat="1" x14ac:dyDescent="0.25">
      <c r="A202" s="266"/>
      <c r="B202" s="266"/>
      <c r="C202" s="54"/>
      <c r="D202" s="267"/>
      <c r="E202" s="268"/>
      <c r="F202" s="55"/>
      <c r="G202" s="269"/>
      <c r="H202" s="269"/>
      <c r="I202" s="55"/>
      <c r="J202" s="269"/>
      <c r="K202" s="270"/>
      <c r="L202" s="269"/>
      <c r="M202" s="62"/>
      <c r="N202" s="62"/>
      <c r="O202" s="62"/>
      <c r="P202" s="62"/>
      <c r="Q202" s="62"/>
      <c r="R202" s="62"/>
      <c r="W202" s="60"/>
    </row>
    <row r="203" spans="1:23" s="214" customFormat="1" x14ac:dyDescent="0.25">
      <c r="A203" s="266"/>
      <c r="B203" s="266"/>
      <c r="C203" s="54"/>
      <c r="D203" s="267"/>
      <c r="E203" s="268"/>
      <c r="F203" s="55"/>
      <c r="G203" s="269"/>
      <c r="H203" s="269"/>
      <c r="I203" s="55"/>
      <c r="J203" s="269"/>
      <c r="K203" s="270"/>
      <c r="L203" s="269"/>
      <c r="M203" s="62"/>
      <c r="N203" s="62"/>
      <c r="O203" s="62"/>
      <c r="P203" s="62"/>
      <c r="Q203" s="62"/>
      <c r="R203" s="62"/>
      <c r="W203" s="60"/>
    </row>
  </sheetData>
  <sheetProtection algorithmName="SHA-512" hashValue="ro2qwsHFbjC/0lDrdX+PBmxf6+vkxQt/Ayj8PNtoKL323r8IC5eiWLwT+68QnjzP2aXxdL/iVoPgEFYPt5sbXQ==" saltValue="v+1uHjNT4mcGOv0Fr9EWdw==" spinCount="100000" sheet="1" formatCells="0" formatColumns="0" formatRows="0"/>
  <mergeCells count="91">
    <mergeCell ref="M78:T78"/>
    <mergeCell ref="U1:U2"/>
    <mergeCell ref="W1:W2"/>
    <mergeCell ref="M1:T1"/>
    <mergeCell ref="M3:T3"/>
    <mergeCell ref="M7:T7"/>
    <mergeCell ref="M12:T12"/>
    <mergeCell ref="M13:T13"/>
    <mergeCell ref="M14:T14"/>
    <mergeCell ref="M15:T15"/>
    <mergeCell ref="M17:T17"/>
    <mergeCell ref="M18:T18"/>
    <mergeCell ref="M16:T16"/>
    <mergeCell ref="M20:T20"/>
    <mergeCell ref="M21:T21"/>
    <mergeCell ref="M19:T19"/>
    <mergeCell ref="M26:T26"/>
    <mergeCell ref="M27:T27"/>
    <mergeCell ref="M29:T29"/>
    <mergeCell ref="M31:T31"/>
    <mergeCell ref="M28:T28"/>
    <mergeCell ref="M30:T30"/>
    <mergeCell ref="M32:T32"/>
    <mergeCell ref="M33:T33"/>
    <mergeCell ref="M34:T34"/>
    <mergeCell ref="M35:T35"/>
    <mergeCell ref="M36:T36"/>
    <mergeCell ref="M37:T37"/>
    <mergeCell ref="M38:T38"/>
    <mergeCell ref="M39:T39"/>
    <mergeCell ref="M40:T40"/>
    <mergeCell ref="M47:T47"/>
    <mergeCell ref="M42:T42"/>
    <mergeCell ref="M48:T48"/>
    <mergeCell ref="M49:T49"/>
    <mergeCell ref="M50:T50"/>
    <mergeCell ref="M51:T51"/>
    <mergeCell ref="M52:T52"/>
    <mergeCell ref="M53:T53"/>
    <mergeCell ref="M54:T54"/>
    <mergeCell ref="M55:T55"/>
    <mergeCell ref="M56:T56"/>
    <mergeCell ref="M57:T57"/>
    <mergeCell ref="M58:T58"/>
    <mergeCell ref="M59:T59"/>
    <mergeCell ref="M60:T60"/>
    <mergeCell ref="M65:T65"/>
    <mergeCell ref="M66:T66"/>
    <mergeCell ref="M67:T67"/>
    <mergeCell ref="M68:T68"/>
    <mergeCell ref="M69:T69"/>
    <mergeCell ref="M70:T70"/>
    <mergeCell ref="M71:T71"/>
    <mergeCell ref="M72:T72"/>
    <mergeCell ref="M73:T73"/>
    <mergeCell ref="M74:T74"/>
    <mergeCell ref="M75:T75"/>
    <mergeCell ref="M76:T76"/>
    <mergeCell ref="M83:T83"/>
    <mergeCell ref="M84:T84"/>
    <mergeCell ref="M85:T85"/>
    <mergeCell ref="M86:T86"/>
    <mergeCell ref="M87:T87"/>
    <mergeCell ref="M88:T88"/>
    <mergeCell ref="M89:T89"/>
    <mergeCell ref="M90:T90"/>
    <mergeCell ref="M91:T91"/>
    <mergeCell ref="M92:T92"/>
    <mergeCell ref="M105:T105"/>
    <mergeCell ref="M106:T106"/>
    <mergeCell ref="M93:T93"/>
    <mergeCell ref="M94:T94"/>
    <mergeCell ref="M95:T95"/>
    <mergeCell ref="M96:T96"/>
    <mergeCell ref="M97:T97"/>
    <mergeCell ref="M5:T5"/>
    <mergeCell ref="M117:T117"/>
    <mergeCell ref="M118:T118"/>
    <mergeCell ref="M112:T112"/>
    <mergeCell ref="M113:T113"/>
    <mergeCell ref="M114:T114"/>
    <mergeCell ref="M115:T115"/>
    <mergeCell ref="M116:T116"/>
    <mergeCell ref="M107:T107"/>
    <mergeCell ref="M108:T108"/>
    <mergeCell ref="M109:T109"/>
    <mergeCell ref="M110:T110"/>
    <mergeCell ref="M111:T111"/>
    <mergeCell ref="M98:T98"/>
    <mergeCell ref="M99:T99"/>
    <mergeCell ref="M104:T104"/>
  </mergeCells>
  <conditionalFormatting sqref="E3">
    <cfRule type="dataBar" priority="184">
      <dataBar>
        <cfvo type="num" val="0.1"/>
        <cfvo type="num" val="1"/>
        <color theme="9" tint="0.39997558519241921"/>
      </dataBar>
      <extLst>
        <ext xmlns:x14="http://schemas.microsoft.com/office/spreadsheetml/2009/9/main" uri="{B025F937-C7B1-47D3-B67F-A62EFF666E3E}">
          <x14:id>{D96E4C0D-FEB2-483B-AA0D-26975FA67068}</x14:id>
        </ext>
      </extLst>
    </cfRule>
  </conditionalFormatting>
  <conditionalFormatting sqref="E8">
    <cfRule type="dataBar" priority="183">
      <dataBar>
        <cfvo type="num" val="0.1"/>
        <cfvo type="num" val="1"/>
        <color theme="9" tint="0.39997558519241921"/>
      </dataBar>
      <extLst>
        <ext xmlns:x14="http://schemas.microsoft.com/office/spreadsheetml/2009/9/main" uri="{B025F937-C7B1-47D3-B67F-A62EFF666E3E}">
          <x14:id>{145EE75B-7C30-4E22-AF24-39C420CE868C}</x14:id>
        </ext>
      </extLst>
    </cfRule>
  </conditionalFormatting>
  <conditionalFormatting sqref="E11">
    <cfRule type="expression" dxfId="413" priority="119">
      <formula>AND(B11&lt;&gt;1,ISNUMBER(C11),OR(ISNUMBER(D11),D11="PG"))</formula>
    </cfRule>
  </conditionalFormatting>
  <conditionalFormatting sqref="E12:E21">
    <cfRule type="expression" dxfId="412" priority="118">
      <formula>AND(B12&lt;&gt;1,ISNUMBER(C12),ISNUMBER(D12))</formula>
    </cfRule>
  </conditionalFormatting>
  <conditionalFormatting sqref="E25">
    <cfRule type="expression" dxfId="411" priority="117">
      <formula>AND(B25&lt;&gt;1,ISNUMBER(C25),OR(ISNUMBER(D25),D25="PG"))</formula>
    </cfRule>
  </conditionalFormatting>
  <conditionalFormatting sqref="E26:E40">
    <cfRule type="expression" dxfId="410" priority="116">
      <formula>AND(B26&lt;&gt;1,ISNUMBER(C26),ISNUMBER(D26))</formula>
    </cfRule>
  </conditionalFormatting>
  <conditionalFormatting sqref="E43">
    <cfRule type="dataBar" priority="182">
      <dataBar>
        <cfvo type="num" val="0.1"/>
        <cfvo type="num" val="1"/>
        <color theme="9" tint="0.39997558519241921"/>
      </dataBar>
      <extLst>
        <ext xmlns:x14="http://schemas.microsoft.com/office/spreadsheetml/2009/9/main" uri="{B025F937-C7B1-47D3-B67F-A62EFF666E3E}">
          <x14:id>{237ED1E6-4076-41BF-8FCD-65B74A14C26D}</x14:id>
        </ext>
      </extLst>
    </cfRule>
  </conditionalFormatting>
  <conditionalFormatting sqref="E46">
    <cfRule type="expression" dxfId="409" priority="115">
      <formula>AND(B46&lt;&gt;1,ISNUMBER(C46),OR(ISNUMBER(D46),D46="PG"))</formula>
    </cfRule>
  </conditionalFormatting>
  <conditionalFormatting sqref="E47:E60">
    <cfRule type="expression" dxfId="408" priority="114">
      <formula>AND(B47&lt;&gt;1,ISNUMBER(C47),ISNUMBER(D47))</formula>
    </cfRule>
  </conditionalFormatting>
  <conditionalFormatting sqref="E64">
    <cfRule type="expression" dxfId="407" priority="113">
      <formula>AND(B64&lt;&gt;1,ISNUMBER(C64),OR(ISNUMBER(D64),D64="PG"))</formula>
    </cfRule>
  </conditionalFormatting>
  <conditionalFormatting sqref="E65:E76">
    <cfRule type="expression" dxfId="406" priority="112">
      <formula>AND(B65&lt;&gt;1,ISNUMBER(C65),ISNUMBER(D65))</formula>
    </cfRule>
  </conditionalFormatting>
  <conditionalFormatting sqref="E79">
    <cfRule type="dataBar" priority="181">
      <dataBar>
        <cfvo type="num" val="0.1"/>
        <cfvo type="num" val="1"/>
        <color theme="9" tint="0.39997558519241921"/>
      </dataBar>
      <extLst>
        <ext xmlns:x14="http://schemas.microsoft.com/office/spreadsheetml/2009/9/main" uri="{B025F937-C7B1-47D3-B67F-A62EFF666E3E}">
          <x14:id>{1BADD1D8-9EDB-4A43-AF78-3866C67FF400}</x14:id>
        </ext>
      </extLst>
    </cfRule>
  </conditionalFormatting>
  <conditionalFormatting sqref="E82">
    <cfRule type="expression" dxfId="405" priority="111">
      <formula>AND(B82&lt;&gt;1,ISNUMBER(C82),OR(ISNUMBER(D82),D82="PG"))</formula>
    </cfRule>
  </conditionalFormatting>
  <conditionalFormatting sqref="E83:E99">
    <cfRule type="expression" dxfId="404" priority="110">
      <formula>AND(B83&lt;&gt;1,ISNUMBER(C83),ISNUMBER(D83))</formula>
    </cfRule>
  </conditionalFormatting>
  <conditionalFormatting sqref="E103">
    <cfRule type="expression" dxfId="403" priority="109">
      <formula>AND(B103&lt;&gt;1,ISNUMBER(C103),OR(ISNUMBER(D103),D103="PG"))</formula>
    </cfRule>
  </conditionalFormatting>
  <conditionalFormatting sqref="E104:E118">
    <cfRule type="expression" dxfId="402" priority="108">
      <formula>AND(B104&lt;&gt;1,ISNUMBER(C104),ISNUMBER(D104))</formula>
    </cfRule>
  </conditionalFormatting>
  <conditionalFormatting sqref="F11:F21">
    <cfRule type="expression" dxfId="401" priority="45">
      <formula>OR(AND($B11=1,LEN(F11)&gt;1,F11&lt;&gt;"NA"),AND($B11=0,ISNUMBER($C11)))</formula>
    </cfRule>
  </conditionalFormatting>
  <conditionalFormatting sqref="F25:F40">
    <cfRule type="expression" dxfId="400" priority="37">
      <formula>OR(AND($B25=1,LEN(F25)&gt;1,F25&lt;&gt;"NA"),AND($B25=0,ISNUMBER($C25)))</formula>
    </cfRule>
  </conditionalFormatting>
  <conditionalFormatting sqref="F46:F60">
    <cfRule type="expression" dxfId="399" priority="29">
      <formula>OR(AND($B46=1,LEN(F46)&gt;1,F46&lt;&gt;"NA"),AND($B46=0,ISNUMBER($C46)))</formula>
    </cfRule>
  </conditionalFormatting>
  <conditionalFormatting sqref="F64:F76">
    <cfRule type="expression" dxfId="398" priority="21">
      <formula>OR(AND($B64=1,LEN(F64)&gt;1,F64&lt;&gt;"NA"),AND($B64=0,ISNUMBER($C64)))</formula>
    </cfRule>
  </conditionalFormatting>
  <conditionalFormatting sqref="F82:F99">
    <cfRule type="expression" dxfId="397" priority="13">
      <formula>OR(AND($B82=1,LEN(F82)&gt;1,F82&lt;&gt;"NA"),AND($B82=0,ISNUMBER($C82)))</formula>
    </cfRule>
  </conditionalFormatting>
  <conditionalFormatting sqref="F103:F118">
    <cfRule type="expression" dxfId="396" priority="5">
      <formula>OR(AND($B103=1,LEN(F103)&gt;1,F103&lt;&gt;"NA"),AND($B103=0,ISNUMBER($C103)))</formula>
    </cfRule>
  </conditionalFormatting>
  <conditionalFormatting sqref="G11:G21">
    <cfRule type="expression" dxfId="395" priority="49">
      <formula>AND(B11=1,OR(F11="S",F11="N"), NOT(ISBLANK(G11)))</formula>
    </cfRule>
    <cfRule type="expression" dxfId="394" priority="44" stopIfTrue="1">
      <formula>AND(B11=1,OR(F11="S",F11="N",ISBLANK(F11)), ISBLANK(G11))</formula>
    </cfRule>
    <cfRule type="expression" dxfId="393" priority="43" stopIfTrue="1">
      <formula>AND(B11=1,F11="NA", ISBLANK(G11))</formula>
    </cfRule>
  </conditionalFormatting>
  <conditionalFormatting sqref="G25:G40">
    <cfRule type="expression" dxfId="392" priority="41">
      <formula>AND(B25=1,OR(F25="S",F25="N"), NOT(ISBLANK(G25)))</formula>
    </cfRule>
    <cfRule type="expression" dxfId="391" priority="36" stopIfTrue="1">
      <formula>AND(B25=1,OR(F25="S",F25="N",ISBLANK(F25)), ISBLANK(G25))</formula>
    </cfRule>
    <cfRule type="expression" dxfId="390" priority="35" stopIfTrue="1">
      <formula>AND(B25=1,F25="NA", ISBLANK(G25))</formula>
    </cfRule>
  </conditionalFormatting>
  <conditionalFormatting sqref="G46:G60">
    <cfRule type="expression" dxfId="389" priority="28" stopIfTrue="1">
      <formula>AND(B46=1,OR(F46="S",F46="N",ISBLANK(F46)), ISBLANK(G46))</formula>
    </cfRule>
    <cfRule type="expression" dxfId="388" priority="33">
      <formula>AND(B46=1,OR(F46="S",F46="N"), NOT(ISBLANK(G46)))</formula>
    </cfRule>
    <cfRule type="expression" dxfId="387" priority="27" stopIfTrue="1">
      <formula>AND(B46=1,F46="NA", ISBLANK(G46))</formula>
    </cfRule>
  </conditionalFormatting>
  <conditionalFormatting sqref="G64:G76">
    <cfRule type="expression" dxfId="386" priority="19" stopIfTrue="1">
      <formula>AND(B64=1,F64="NA", ISBLANK(G64))</formula>
    </cfRule>
    <cfRule type="expression" dxfId="385" priority="20" stopIfTrue="1">
      <formula>AND(B64=1,OR(F64="S",F64="N",ISBLANK(F64)), ISBLANK(G64))</formula>
    </cfRule>
    <cfRule type="expression" dxfId="384" priority="25">
      <formula>AND(B64=1,OR(F64="S",F64="N"), NOT(ISBLANK(G64)))</formula>
    </cfRule>
  </conditionalFormatting>
  <conditionalFormatting sqref="G82:G99">
    <cfRule type="expression" dxfId="383" priority="17">
      <formula>AND(B82=1,OR(F82="S",F82="N"), NOT(ISBLANK(G82)))</formula>
    </cfRule>
    <cfRule type="expression" dxfId="382" priority="11" stopIfTrue="1">
      <formula>AND(B82=1,F82="NA", ISBLANK(G82))</formula>
    </cfRule>
    <cfRule type="expression" dxfId="381" priority="12" stopIfTrue="1">
      <formula>AND(B82=1,OR(F82="S",F82="N",ISBLANK(F82)), ISBLANK(G82))</formula>
    </cfRule>
  </conditionalFormatting>
  <conditionalFormatting sqref="G103:G118">
    <cfRule type="expression" dxfId="380" priority="9">
      <formula>AND(B103=1,OR(F103="S",F103="N"), NOT(ISBLANK(G103)))</formula>
    </cfRule>
    <cfRule type="expression" dxfId="379" priority="4" stopIfTrue="1">
      <formula>AND(B103=1,OR(F103="S",F103="N",ISBLANK(F103)), ISBLANK(G103))</formula>
    </cfRule>
    <cfRule type="expression" dxfId="378" priority="3" stopIfTrue="1">
      <formula>AND(B103=1,F103="NA", ISBLANK(G103))</formula>
    </cfRule>
  </conditionalFormatting>
  <conditionalFormatting sqref="K11:K21">
    <cfRule type="expression" dxfId="377" priority="42" stopIfTrue="1">
      <formula>AND($B11=1,OR($F11="N",$F11="NA"))</formula>
    </cfRule>
    <cfRule type="expression" dxfId="375" priority="46" stopIfTrue="1">
      <formula>AND($B11=1,OR($F11="S",$F11="P"),ISBLANK($K11))</formula>
    </cfRule>
  </conditionalFormatting>
  <conditionalFormatting sqref="K25:K40">
    <cfRule type="expression" dxfId="374" priority="34" stopIfTrue="1">
      <formula>AND($B25=1,OR($F25="N",$F25="NA"))</formula>
    </cfRule>
    <cfRule type="expression" dxfId="373" priority="38" stopIfTrue="1">
      <formula>AND($B25=1,OR($F25="S",$F25="P"),ISBLANK($K25))</formula>
    </cfRule>
  </conditionalFormatting>
  <conditionalFormatting sqref="K46:K60">
    <cfRule type="expression" dxfId="370" priority="30" stopIfTrue="1">
      <formula>AND($B46=1,OR($F46="S",$F46="P"),ISBLANK($K46))</formula>
    </cfRule>
    <cfRule type="expression" dxfId="369" priority="26" stopIfTrue="1">
      <formula>AND($B46=1,OR($F46="N",$F46="NA"))</formula>
    </cfRule>
  </conditionalFormatting>
  <conditionalFormatting sqref="K64:K76">
    <cfRule type="expression" dxfId="367" priority="18" stopIfTrue="1">
      <formula>AND($B64=1,OR($F64="N",$F64="NA"))</formula>
    </cfRule>
    <cfRule type="expression" dxfId="366" priority="22" stopIfTrue="1">
      <formula>AND($B64=1,OR($F64="S",$F64="P"),ISBLANK($K64))</formula>
    </cfRule>
  </conditionalFormatting>
  <conditionalFormatting sqref="K82:K99">
    <cfRule type="expression" dxfId="364" priority="14" stopIfTrue="1">
      <formula>AND($B82=1,OR($F82="S",$F82="P"),ISBLANK($K82))</formula>
    </cfRule>
    <cfRule type="expression" dxfId="363" priority="10" stopIfTrue="1">
      <formula>AND($B82=1,OR($F82="N",$F82="NA"))</formula>
    </cfRule>
  </conditionalFormatting>
  <conditionalFormatting sqref="K103:K118">
    <cfRule type="expression" dxfId="362" priority="2" stopIfTrue="1">
      <formula>AND($B103=1,OR($F103="N",$F103="NA"))</formula>
    </cfRule>
    <cfRule type="expression" dxfId="360" priority="6" stopIfTrue="1">
      <formula>AND($B103=1,OR($F103="S",$F103="P"),ISBLANK($K103))</formula>
    </cfRule>
  </conditionalFormatting>
  <conditionalFormatting sqref="V5">
    <cfRule type="expression" dxfId="359" priority="1">
      <formula>AND((L5=1),ISBLANK($V5))</formula>
    </cfRule>
  </conditionalFormatting>
  <conditionalFormatting sqref="V11:V21">
    <cfRule type="expression" dxfId="358" priority="47">
      <formula>AND((L11=1),ISBLANK($V11))</formula>
    </cfRule>
  </conditionalFormatting>
  <conditionalFormatting sqref="V25:V40">
    <cfRule type="expression" dxfId="357" priority="39">
      <formula>AND((L25=1),ISBLANK($V25))</formula>
    </cfRule>
  </conditionalFormatting>
  <conditionalFormatting sqref="V46:V60">
    <cfRule type="expression" dxfId="356" priority="31">
      <formula>AND((L46=1),ISBLANK($V46))</formula>
    </cfRule>
  </conditionalFormatting>
  <conditionalFormatting sqref="V64:V76">
    <cfRule type="expression" dxfId="355" priority="23">
      <formula>AND((L64=1),ISBLANK($V64))</formula>
    </cfRule>
  </conditionalFormatting>
  <conditionalFormatting sqref="V82:V99">
    <cfRule type="expression" dxfId="354" priority="15">
      <formula>AND((L82=1),ISBLANK($V82))</formula>
    </cfRule>
  </conditionalFormatting>
  <conditionalFormatting sqref="V103:V118">
    <cfRule type="expression" dxfId="353" priority="7">
      <formula>AND((L103=1),ISBLANK($V103))</formula>
    </cfRule>
  </conditionalFormatting>
  <dataValidations count="5">
    <dataValidation type="list" allowBlank="1" showInputMessage="1" showErrorMessage="1" error="Opção inválida!" sqref="U25 U64 U46 M46:O46 U11 M64:O64 U82 M11:O11 M25:O25 Q46:S46 M82:O82 Q64:S64 Q82:S82 Q11:S11 Q25:S25 U103 M103:O103 Q103:S103" xr:uid="{890928EF-AC49-43C7-AD70-9413983F6876}">
      <formula1>"0,1,2,3,4"</formula1>
    </dataValidation>
    <dataValidation type="list" allowBlank="1" showDropDown="1" showInputMessage="1" showErrorMessage="1" error="opção inválida!" sqref="F11:F21 F82:F99 F25:F40 F64:F76 F46:F60 F103:F118" xr:uid="{03249866-FEF4-48F4-9A3F-5C9D6EFC757D}">
      <formula1>"s,n,S,N,p,P,na,NA,Na"</formula1>
    </dataValidation>
    <dataValidation type="list" allowBlank="1" showDropDown="1" showInputMessage="1" showErrorMessage="1" error="opção inválida!" sqref="I11:I21 I82:I99 I25:I40 I64:I76 I46:I60 I103:I118" xr:uid="{007A2ADE-B1DC-49AB-8257-2B7373172F64}">
      <formula1>"s,n,p,S,N,P"</formula1>
    </dataValidation>
    <dataValidation type="list" allowBlank="1" showDropDown="1" showInputMessage="1" showErrorMessage="1" error="Opção inválida!" prompt="Há inovação?_x000a_1:Sim_x000a_0:Não" sqref="T82 T11 T25 T46 T64 T103" xr:uid="{7CDBC388-A389-4A80-B0E1-FE323E76C6DD}">
      <formula1>"0,1"</formula1>
    </dataValidation>
    <dataValidation type="list" allowBlank="1" showDropDown="1" showInputMessage="1" showErrorMessage="1" error="Opção inválida!" prompt="Aplica I.A.?   _x000a_1:SIm   _x000a_0 :Não" sqref="P82 P11 P25 P46 P64 P103" xr:uid="{01E7B676-3F64-4F68-A704-B5A742052EDC}">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D96E4C0D-FEB2-483B-AA0D-26975FA67068}">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145EE75B-7C30-4E22-AF24-39C420CE868C}">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237ED1E6-4076-41BF-8FCD-65B74A14C26D}">
            <x14:dataBar minLength="0" maxLength="100" gradient="0">
              <x14:cfvo type="num">
                <xm:f>0.1</xm:f>
              </x14:cfvo>
              <x14:cfvo type="num">
                <xm:f>1</xm:f>
              </x14:cfvo>
              <x14:negativeFillColor rgb="FFFF0000"/>
              <x14:axisColor rgb="FF000000"/>
            </x14:dataBar>
          </x14:cfRule>
          <xm:sqref>E43</xm:sqref>
        </x14:conditionalFormatting>
        <x14:conditionalFormatting xmlns:xm="http://schemas.microsoft.com/office/excel/2006/main">
          <x14:cfRule type="dataBar" id="{1BADD1D8-9EDB-4A43-AF78-3866C67FF400}">
            <x14:dataBar minLength="0" maxLength="100" gradient="0">
              <x14:cfvo type="num">
                <xm:f>0.1</xm:f>
              </x14:cfvo>
              <x14:cfvo type="num">
                <xm:f>1</xm:f>
              </x14:cfvo>
              <x14:negativeFillColor rgb="FFFF0000"/>
              <x14:axisColor rgb="FF000000"/>
            </x14:dataBar>
          </x14:cfRule>
          <xm:sqref>E79</xm:sqref>
        </x14:conditionalFormatting>
        <x14:conditionalFormatting xmlns:xm="http://schemas.microsoft.com/office/excel/2006/main">
          <x14:cfRule type="expression" priority="48" id="{FB6D9A64-81D1-4E92-9060-F9B3BAC601F0}">
            <xm:f>AND(B11=1,$J11&gt;Capa!$H$23)</xm:f>
            <x14:dxf>
              <fill>
                <patternFill>
                  <bgColor rgb="FFFFCCCC"/>
                </patternFill>
              </fill>
            </x14:dxf>
          </x14:cfRule>
          <xm:sqref>K11:K21</xm:sqref>
        </x14:conditionalFormatting>
        <x14:conditionalFormatting xmlns:xm="http://schemas.microsoft.com/office/excel/2006/main">
          <x14:cfRule type="expression" priority="40" id="{50A8F565-E384-45DC-BDA9-F7E47CCE2B27}">
            <xm:f>AND(B25=1,$J25&gt;Capa!$H$23)</xm:f>
            <x14:dxf>
              <fill>
                <patternFill>
                  <bgColor rgb="FFFFCCCC"/>
                </patternFill>
              </fill>
            </x14:dxf>
          </x14:cfRule>
          <xm:sqref>K25:K40</xm:sqref>
        </x14:conditionalFormatting>
        <x14:conditionalFormatting xmlns:xm="http://schemas.microsoft.com/office/excel/2006/main">
          <x14:cfRule type="expression" priority="32" id="{19DB68F4-3578-41B2-8CC7-6D7E6FCB78EE}">
            <xm:f>AND(B46=1,$J46&gt;Capa!$H$23)</xm:f>
            <x14:dxf>
              <fill>
                <patternFill>
                  <bgColor rgb="FFFFCCCC"/>
                </patternFill>
              </fill>
            </x14:dxf>
          </x14:cfRule>
          <xm:sqref>K46:K60</xm:sqref>
        </x14:conditionalFormatting>
        <x14:conditionalFormatting xmlns:xm="http://schemas.microsoft.com/office/excel/2006/main">
          <x14:cfRule type="expression" priority="24" id="{05BDDCAB-021E-46B7-A447-D2A3018E5302}">
            <xm:f>AND(B64=1,$J64&gt;Capa!$H$23)</xm:f>
            <x14:dxf>
              <fill>
                <patternFill>
                  <bgColor rgb="FFFFCCCC"/>
                </patternFill>
              </fill>
            </x14:dxf>
          </x14:cfRule>
          <xm:sqref>K64:K76</xm:sqref>
        </x14:conditionalFormatting>
        <x14:conditionalFormatting xmlns:xm="http://schemas.microsoft.com/office/excel/2006/main">
          <x14:cfRule type="expression" priority="16" id="{29CB9112-262A-4FD1-9D0E-B59319890E3A}">
            <xm:f>AND(B82=1,$J82&gt;Capa!$H$23)</xm:f>
            <x14:dxf>
              <fill>
                <patternFill>
                  <bgColor rgb="FFFFCCCC"/>
                </patternFill>
              </fill>
            </x14:dxf>
          </x14:cfRule>
          <xm:sqref>K82:K99</xm:sqref>
        </x14:conditionalFormatting>
        <x14:conditionalFormatting xmlns:xm="http://schemas.microsoft.com/office/excel/2006/main">
          <x14:cfRule type="expression" priority="8" id="{6C58E8BF-DFA5-4AC8-A3F7-285F95C3457A}">
            <xm:f>AND(B103=1,$J103&gt;Capa!$H$23)</xm:f>
            <x14:dxf>
              <fill>
                <patternFill>
                  <bgColor rgb="FFFFCCCC"/>
                </patternFill>
              </fill>
            </x14:dxf>
          </x14:cfRule>
          <xm:sqref>K103:K118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AG244"/>
  <sheetViews>
    <sheetView zoomScale="115" zoomScaleNormal="115" workbookViewId="0">
      <pane xSplit="5" ySplit="2" topLeftCell="F3" activePane="bottomRight" state="frozen"/>
      <selection pane="topRight" activeCell="F1" sqref="F1"/>
      <selection pane="bottomLeft" activeCell="A3" sqref="A3"/>
      <selection pane="bottomRight" activeCell="F11" sqref="F11"/>
    </sheetView>
  </sheetViews>
  <sheetFormatPr defaultColWidth="8.85546875" defaultRowHeight="26.25" x14ac:dyDescent="0.25"/>
  <cols>
    <col min="1" max="2" width="2.42578125" style="210" customWidth="1"/>
    <col min="3" max="3" width="2.85546875" style="1" customWidth="1"/>
    <col min="4" max="4" width="4" style="271" customWidth="1"/>
    <col min="5" max="5" width="52.5703125" style="272" customWidth="1"/>
    <col min="6" max="6" width="5.85546875" style="31" customWidth="1"/>
    <col min="7" max="7" width="31.5703125" style="273" customWidth="1"/>
    <col min="8" max="8" width="0.85546875" style="273" customWidth="1"/>
    <col min="9" max="9" width="5.85546875" style="31" customWidth="1"/>
    <col min="10" max="10" width="2.28515625" style="273" customWidth="1"/>
    <col min="11" max="11" width="32.140625" style="274" customWidth="1"/>
    <col min="12" max="12" width="2.42578125" style="269" customWidth="1"/>
    <col min="13" max="18" width="4.85546875" style="62" customWidth="1"/>
    <col min="19" max="21" width="4.85546875" style="214" customWidth="1"/>
    <col min="22" max="22" width="27.85546875" style="214" customWidth="1"/>
    <col min="23" max="23" width="5.140625" style="60" customWidth="1"/>
    <col min="24" max="24" width="2.5703125" style="214" customWidth="1"/>
    <col min="25" max="25" width="40.42578125" style="214" customWidth="1"/>
    <col min="26" max="26" width="30.85546875" style="214" customWidth="1"/>
    <col min="27" max="27" width="32.140625" style="214" customWidth="1"/>
    <col min="28" max="28" width="28.42578125" style="214" customWidth="1"/>
    <col min="29" max="33" width="9.140625" style="214"/>
    <col min="34" max="16384" width="8.85546875" style="215"/>
  </cols>
  <sheetData>
    <row r="1" spans="1:28" ht="17.100000000000001" customHeight="1" x14ac:dyDescent="0.25">
      <c r="C1" s="139"/>
      <c r="D1" s="276"/>
      <c r="E1" s="277" t="str">
        <f>Capa!A1</f>
        <v xml:space="preserve">MEGplan®ESG </v>
      </c>
      <c r="F1" s="430" t="s">
        <v>22</v>
      </c>
      <c r="G1" s="432"/>
      <c r="H1" s="491"/>
      <c r="I1" s="427"/>
      <c r="J1" s="252"/>
      <c r="K1" s="434"/>
      <c r="L1" s="252"/>
      <c r="M1" s="725" t="s">
        <v>23</v>
      </c>
      <c r="N1" s="726"/>
      <c r="O1" s="726"/>
      <c r="P1" s="726"/>
      <c r="Q1" s="726"/>
      <c r="R1" s="726"/>
      <c r="S1" s="726"/>
      <c r="T1" s="727"/>
      <c r="U1" s="715" t="s">
        <v>24</v>
      </c>
      <c r="V1" s="587"/>
      <c r="W1" s="717" t="s">
        <v>25</v>
      </c>
      <c r="X1" s="602"/>
      <c r="Y1" s="600"/>
      <c r="Z1" s="600"/>
      <c r="AA1" s="600"/>
      <c r="AB1" s="600"/>
    </row>
    <row r="2" spans="1:28" ht="18" customHeight="1" thickBot="1" x14ac:dyDescent="0.3">
      <c r="C2" s="8" t="s">
        <v>26</v>
      </c>
      <c r="D2" s="8" t="s">
        <v>27</v>
      </c>
      <c r="E2" s="386" t="str">
        <f>"PGs: "&amp;SUMIFS($B$1:$B$230,$A$1:$A$230,"="&amp;A4&amp;"??",$D$1:$D$230,"=PG",B$1:B$230,"&gt;0")&amp;"  LV: "&amp;SUMIFS($B$1:$B$230,$A$1:$A$230,"="&amp;A4&amp;"??",$D$1:$D$230,"&lt;&gt;PG",B$1:B$230,"&gt;0")</f>
        <v>PGs: 8  LV: 18</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16"/>
      <c r="V2" s="589" t="s">
        <v>41</v>
      </c>
      <c r="W2" s="718"/>
      <c r="X2" s="603"/>
      <c r="Y2" s="601" t="s">
        <v>42</v>
      </c>
      <c r="Z2" s="601" t="s">
        <v>43</v>
      </c>
      <c r="AA2" s="601" t="s">
        <v>44</v>
      </c>
      <c r="AB2" s="601" t="s">
        <v>45</v>
      </c>
    </row>
    <row r="3" spans="1:28" ht="18" customHeight="1" x14ac:dyDescent="0.25">
      <c r="A3" s="210" t="s">
        <v>523</v>
      </c>
      <c r="B3" s="7" t="str">
        <f>IF(  AND(ISNUMBER(C3),OR(ISNUMBER(D3),D3="PG")),IF(IF(Capa!$B$6="B",0,Capa!$B$6)&gt;=C3,1,0),"")</f>
        <v/>
      </c>
      <c r="C3" s="85"/>
      <c r="D3" s="86"/>
      <c r="E3" s="98">
        <f>IF(SUMIFS($B$1:$B$230,$A$1:$A$230,"="&amp;A4&amp;"??",B$1:B$230,"&gt;0")&lt;=0,0,COUNTIFS($F$1:$F$230,"*",$A$1:$A$230,"="&amp;A4&amp;"??",B$1:B$230,"&gt;0")/SUMIFS($B$1:$B$230,$A$1:$A$230,"="&amp;A4&amp;"??",B$1:B$230,"&gt;0"))</f>
        <v>0</v>
      </c>
      <c r="F3" s="37"/>
      <c r="G3" s="101"/>
      <c r="H3" s="235"/>
      <c r="I3" s="38"/>
      <c r="J3" s="37"/>
      <c r="K3" s="80"/>
      <c r="L3" s="574"/>
      <c r="M3" s="722">
        <f>MIN(IF(OR(Capa!$B$6="B",Capa!$B$6=1),AVERAGE(M7,M108),(M7*'Quadro Geral'!D24+M108*'Quadro Geral'!D25)/'Quadro Geral'!D23)+U3,1)</f>
        <v>0</v>
      </c>
      <c r="N3" s="723"/>
      <c r="O3" s="723"/>
      <c r="P3" s="723"/>
      <c r="Q3" s="723"/>
      <c r="R3" s="723"/>
      <c r="S3" s="723"/>
      <c r="T3" s="724"/>
      <c r="U3" s="467">
        <f>IF(OR(AND(Capa!$B$6=2,P4&gt;0),AND(Capa!$B$6=3,P4&gt;1)),0.05,0)+IF(AND(Capa!$B$6=3,P4=1),0.02,0)+IF(OR(AND(Capa!$B$6=2,T4&gt;0),AND(Capa!$B$6=3,T4&gt;1)),0.05,0)+IF(AND(Capa!$B$6=3,T4=1),0.02,0)</f>
        <v>0</v>
      </c>
      <c r="V3" s="588"/>
      <c r="W3" s="472"/>
      <c r="X3" s="579"/>
      <c r="Y3" s="579"/>
      <c r="Z3" s="579"/>
      <c r="AA3" s="579"/>
      <c r="AB3" s="579"/>
    </row>
    <row r="4" spans="1:28" ht="20.85" customHeight="1" x14ac:dyDescent="0.25">
      <c r="A4" s="210" t="s">
        <v>523</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218" t="s">
        <v>524</v>
      </c>
      <c r="F4" s="382">
        <f>IF(COUNTIFS($A$1:$A$230,"="&amp;A4&amp;"??",$B$1:$B$230,"&gt;0",$D$1:$D$230,"&gt;0")&gt;0,(COUNTIFS($A$1:$A$230,"="&amp;A4&amp;"??",$B$1:$B$230,"&gt;0",$D$1:$D$230,"&gt;0",F$1:F$230,"=S")+COUNTIFS($A$1:$A$230,"="&amp;A4&amp;"??",$B$1:$B$230,"&gt;0",$D$1:$D$230,"&gt;0",$F$1:$F$230,"=P")+COUNTIFS($A$1:$A$230,"="&amp;A4&amp;"??",$B$1:$B$230,"&gt;0",$D$1:$D$230,"&gt;0",F$1:F$230,"=N")+COUNTIFS($A$1:$A$230,"="&amp;A4&amp;"??",$B$1:$B$230,"&gt;0",$D$1:$D$230,"&gt;0",F$1:F$230,"=NA"))/COUNTIFS($A$1:$A$230,"="&amp;A4&amp;"??",$B$1:$B$230,"&gt;0",$D$1:$D$230,"&gt;0"),0)</f>
        <v>0</v>
      </c>
      <c r="G4" s="235"/>
      <c r="H4" s="220"/>
      <c r="I4" s="382">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219"/>
      <c r="K4" s="296"/>
      <c r="L4" s="575"/>
      <c r="M4" s="100">
        <f>AVERAGE(M8,M109)</f>
        <v>0</v>
      </c>
      <c r="N4" s="100">
        <f>AVERAGE(N8,N109)</f>
        <v>0</v>
      </c>
      <c r="O4" s="100">
        <f>AVERAGE(O8,O109)</f>
        <v>0</v>
      </c>
      <c r="P4" s="414">
        <f>P8+P109</f>
        <v>0</v>
      </c>
      <c r="Q4" s="100">
        <f>AVERAGE(Q8,Q109)</f>
        <v>0</v>
      </c>
      <c r="R4" s="100">
        <f>AVERAGE(R8,R109)</f>
        <v>0</v>
      </c>
      <c r="S4" s="100">
        <f>AVERAGE(S8,S109)</f>
        <v>0</v>
      </c>
      <c r="T4" s="414">
        <f>T8+T109</f>
        <v>0</v>
      </c>
      <c r="U4" s="100"/>
      <c r="V4" s="221"/>
      <c r="W4" s="66"/>
      <c r="X4" s="579"/>
      <c r="Y4" s="579"/>
      <c r="Z4" s="579"/>
      <c r="AA4" s="579"/>
      <c r="AB4" s="579"/>
    </row>
    <row r="5" spans="1:28" ht="38.25" x14ac:dyDescent="0.25">
      <c r="A5" s="210" t="s">
        <v>523</v>
      </c>
      <c r="B5" s="7" t="str">
        <f>IF(  AND(ISNUMBER(C5),OR(ISNUMBER(D5),D5="PG")),IF(IF(Capa!$B$6="B",0,Capa!$B$6)&gt;=C5,1,0),"")</f>
        <v/>
      </c>
      <c r="C5" s="19" t="str">
        <f t="shared" ref="C5:C68" si="0">IF(ISBLANK(D5),"",IF(ISERR(SEARCH(D5&amp;"\","&lt;B&gt;\&lt;1&gt;\&lt;2&gt;\&lt;3&gt;\")),IF(AND(NOT(ISBLANK(C4)),C4&lt;=3),C4,""),
IF(SEARCH(D5&amp;"\","&lt;B&gt;\&lt;1&gt;\&lt;2&gt;\&lt;3&gt;\")=1,0,IF(SEARCH(D5&amp;"\","&lt;B&gt;\&lt;1&gt;\&lt;2&gt;\&lt;3&gt;\")=5,1,IF(SEARCH(D5&amp;"\","&lt;B&gt;\&lt;1&gt;\&lt;2&gt;\&lt;3&gt;\")=9,2,IF(SEARCH(D5&amp;"\","&lt;B&gt;\&lt;1&gt;\&lt;2&gt;\&lt;3&gt;\")=13,3,""))))))</f>
        <v/>
      </c>
      <c r="D5" s="20"/>
      <c r="E5" s="279" t="s">
        <v>525</v>
      </c>
      <c r="F5" s="290"/>
      <c r="G5" s="290"/>
      <c r="H5" s="252"/>
      <c r="I5" s="290"/>
      <c r="J5" s="253"/>
      <c r="K5" s="298"/>
      <c r="L5" s="701" t="str">
        <f>IF($F$4&gt;0.9,1,"")</f>
        <v/>
      </c>
      <c r="M5" s="728"/>
      <c r="N5" s="729"/>
      <c r="O5" s="729"/>
      <c r="P5" s="729"/>
      <c r="Q5" s="729"/>
      <c r="R5" s="729"/>
      <c r="S5" s="729"/>
      <c r="T5" s="730"/>
      <c r="U5" s="224"/>
      <c r="V5" s="464"/>
      <c r="W5" s="473"/>
      <c r="X5" s="522"/>
      <c r="Y5" s="522"/>
      <c r="Z5" s="522"/>
      <c r="AA5" s="522"/>
      <c r="AB5" s="522"/>
    </row>
    <row r="6" spans="1:28" ht="8.1" customHeight="1" x14ac:dyDescent="0.25">
      <c r="B6" s="7" t="str">
        <f>IF(  AND(ISNUMBER(C6),OR(ISNUMBER(D6),D6="PG")),IF(IF(Capa!$B$6="B",0,Capa!$B$6)&gt;=C6,1,0),"")</f>
        <v/>
      </c>
      <c r="C6" s="118" t="str">
        <f t="shared" si="0"/>
        <v/>
      </c>
      <c r="D6" s="122"/>
      <c r="E6" s="291"/>
      <c r="F6" s="123"/>
      <c r="G6" s="227"/>
      <c r="H6" s="227"/>
      <c r="I6" s="123"/>
      <c r="J6" s="227"/>
      <c r="K6" s="245"/>
      <c r="L6" s="576"/>
      <c r="M6" s="129"/>
      <c r="N6" s="129"/>
      <c r="O6" s="129"/>
      <c r="P6" s="129"/>
      <c r="Q6" s="129"/>
      <c r="R6" s="129"/>
      <c r="S6" s="247"/>
      <c r="T6" s="247"/>
      <c r="U6" s="282"/>
      <c r="V6" s="547"/>
      <c r="W6" s="125"/>
      <c r="X6" s="522"/>
      <c r="Y6" s="522"/>
      <c r="Z6" s="522"/>
      <c r="AA6" s="522"/>
      <c r="AB6" s="522"/>
    </row>
    <row r="7" spans="1:28" x14ac:dyDescent="0.25">
      <c r="A7" s="210" t="s">
        <v>526</v>
      </c>
      <c r="B7" s="7" t="str">
        <f>IF(  AND(ISNUMBER(C7),OR(ISNUMBER(D7),D7="PG")),IF(IF(Capa!$B$6="B",0,Capa!$B$6)&gt;=C7,1,0),"")</f>
        <v/>
      </c>
      <c r="C7" s="117" t="str">
        <f t="shared" si="0"/>
        <v/>
      </c>
      <c r="D7" s="137"/>
      <c r="E7" s="300" t="s">
        <v>527</v>
      </c>
      <c r="F7" s="381">
        <f>IF(COUNTIFS($A$1:$A$230,"="&amp;A7&amp;"?",$B$1:$B$230,"&gt;0",$D$1:$D$230,"&gt;0")&gt;0,(COUNTIFS($A$1:$A$230,"="&amp;A7&amp;"?",$B$1:$B$230,"&gt;0",$D$1:$D$230,"&gt;0",F$1:F$230,"=S")+COUNTIFS($A$1:$A$230,"="&amp;A7&amp;"?",$B$1:$B$230,"&gt;0",$D$1:$D$230,"&gt;0",$F$1:$F$230,"=P")+COUNTIFS($A$1:$A$230,"="&amp;A7&amp;"?",$B$1:$B$230,"&gt;0",$D$1:$D$230,"&gt;0",F$1:F$230,"=N")+COUNTIFS($A$1:$A$230,"="&amp;A7&amp;"?",$B$1:$B$230,"&gt;0",$D$1:$D$230,"&gt;0",F$1:F$230,"=NA"))/COUNTIFS($A$1:$A$230,"="&amp;A7&amp;"?",$B$1:$B$230,"&gt;0",$D$1:$D$230,"&gt;0"),0)</f>
        <v>0</v>
      </c>
      <c r="G7" s="232"/>
      <c r="H7" s="232"/>
      <c r="I7" s="381">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232"/>
      <c r="K7" s="301"/>
      <c r="L7" s="575"/>
      <c r="M7" s="722">
        <f>(M8*20+N8*10+O8*10+Q8*30+R8*15+S8*15)/100</f>
        <v>0</v>
      </c>
      <c r="N7" s="723"/>
      <c r="O7" s="723"/>
      <c r="P7" s="723"/>
      <c r="Q7" s="723"/>
      <c r="R7" s="723"/>
      <c r="S7" s="723"/>
      <c r="T7" s="724"/>
      <c r="U7" s="458"/>
      <c r="V7" s="560"/>
      <c r="W7" s="474"/>
      <c r="X7" s="579"/>
      <c r="Y7" s="579"/>
      <c r="Z7" s="579"/>
      <c r="AA7" s="579"/>
      <c r="AB7" s="579"/>
    </row>
    <row r="8" spans="1:28" ht="12.6" customHeight="1" x14ac:dyDescent="0.25">
      <c r="A8" s="210" t="s">
        <v>526</v>
      </c>
      <c r="B8" s="7" t="str">
        <f>IF(  AND(ISNUMBER(C8),OR(ISNUMBER(D8),D8="PG")),IF(IF(Capa!$B$6="B",0,Capa!$B$6)&gt;=C8,1,0),"")</f>
        <v/>
      </c>
      <c r="C8" s="6" t="str">
        <f t="shared" si="0"/>
        <v/>
      </c>
      <c r="D8" s="5"/>
      <c r="E8" s="98">
        <f>IF(SUMIFS($B$1:$B$230,$A$1:$A$230,"="&amp;A7&amp;"?",B$1:B$230,"&gt;0")&lt;=0,0,COUNTIFS($F$1:$F$230,"*",$A$1:$A$230,"="&amp;A7&amp;"?",B$1:B$230,"&gt;0")/SUMIFS($B$1:$B$230,$A$1:$A$230,"="&amp;A7&amp;"?",B$1:B$230,"&gt;0"))</f>
        <v>0</v>
      </c>
      <c r="F8" s="36"/>
      <c r="G8" s="235"/>
      <c r="H8" s="253"/>
      <c r="I8" s="36"/>
      <c r="J8" s="253"/>
      <c r="K8" s="306"/>
      <c r="L8" s="353"/>
      <c r="M8" s="100">
        <f>(COUNTIFS($A$1:$A$230,"="&amp;$A7&amp;"?",$B$1:$B$230,"&gt;0",$D$1:$D$230,"=PG",M$1:M$230,"=1")*(IF(Capa!$B$6="B",100,IF(Capa!$B$6=1,50,IF(Capa!$B$6=2,33,25))))+COUNTIFS($A$1:$A$230,"="&amp;$A7&amp;"?",$B$1:$B$230,"&gt;0",$D$1:$D$230,"=PG",M$1:M$230,"=2")*(IF(Capa!$B$6="B",100,IF(Capa!$B$6=1,100,IF(Capa!$B$6=2,67,50))))+COUNTIFS($A$1:$A$230,"="&amp;$A7&amp;"?",$B$1:$B$230,"&gt;0",$D$1:$D$230,"=PG",M$1:M$230,"=3")*(IF(Capa!$B$6="B",100,IF(Capa!$B$6=1,100,IF(Capa!$B$6=2,100,75))))+COUNTIFS($A$1:$A$230,"="&amp;$A7&amp;"?",$B$1:$B$230,"&gt;0",$D$1:$D$230,"=PG",M$1:M$230,"=4")*100)/(COUNTIFS($A$1:$A$230,"="&amp;$A7&amp;"?",$B$1:$B$230,"&gt;0",$D$1:$D$230,"=PG")*100)</f>
        <v>0</v>
      </c>
      <c r="N8" s="100">
        <f>(COUNTIFS($A$1:$A$230,"="&amp;$A7&amp;"?",$B$1:$B$230,"&gt;0",$D$1:$D$230,"=PG",N$1:N$230,"=1")*(IF(Capa!$B$6="B",100,IF(Capa!$B$6=1,50,IF(Capa!$B$6=2,33,25))))+COUNTIFS($A$1:$A$230,"="&amp;$A7&amp;"?",$B$1:$B$230,"&gt;0",$D$1:$D$230,"=PG",N$1:N$230,"=2")*(IF(Capa!$B$6="B",100,IF(Capa!$B$6=1,100,IF(Capa!$B$6=2,67,50))))+COUNTIFS($A$1:$A$230,"="&amp;$A7&amp;"?",$B$1:$B$230,"&gt;0",$D$1:$D$230,"=PG",N$1:N$230,"=3")*(IF(Capa!$B$6="B",100,IF(Capa!$B$6=1,100,IF(Capa!$B$6=2,100,75))))+COUNTIFS($A$1:$A$230,"="&amp;$A7&amp;"?",$B$1:$B$230,"&gt;0",$D$1:$D$230,"=PG",N$1:N$230,"=4")*100)/(COUNTIFS($A$1:$A$230,"="&amp;$A7&amp;"?",$B$1:$B$230,"&gt;0",$D$1:$D$230,"=PG")*100)</f>
        <v>0</v>
      </c>
      <c r="O8" s="100">
        <f>(COUNTIFS($A$1:$A$230,"="&amp;$A7&amp;"?",$B$1:$B$230,"&gt;0",$D$1:$D$230,"=PG",O$1:O$230,"=1")*(IF(Capa!$B$6="B",100,IF(Capa!$B$6=1,50,IF(Capa!$B$6=2,33,25))))+COUNTIFS($A$1:$A$230,"="&amp;$A7&amp;"?",$B$1:$B$230,"&gt;0",$D$1:$D$230,"=PG",O$1:O$230,"=2")*(IF(Capa!$B$6="B",100,IF(Capa!$B$6=1,100,IF(Capa!$B$6=2,67,50))))+COUNTIFS($A$1:$A$230,"="&amp;$A7&amp;"?",$B$1:$B$230,"&gt;0",$D$1:$D$230,"=PG",O$1:O$230,"=3")*(IF(Capa!$B$6="B",100,IF(Capa!$B$6=1,100,IF(Capa!$B$6=2,100,75))))+COUNTIFS($A$1:$A$230,"="&amp;$A7&amp;"?",$B$1:$B$230,"&gt;0",$D$1:$D$230,"=PG",O$1:O$230,"=4")*100)/(COUNTIFS($A$1:$A$230,"="&amp;$A7&amp;"?",$B$1:$B$230,"&gt;0",$D$1:$D$230,"=PG")*100)</f>
        <v>0</v>
      </c>
      <c r="P8" s="414">
        <f>P11+P29+P46+P66+P86</f>
        <v>0</v>
      </c>
      <c r="Q8" s="100">
        <f>(COUNTIFS($A$1:$A$230,"="&amp;$A7&amp;"?",$B$1:$B$230,"",$L$1:$L$230,"&gt;=0",Q$1:Q$230,"=1")*(IF(Capa!$B$6="B",100,IF(Capa!$B$6=1,50,IF(Capa!$B$6=2,33,25))))+COUNTIFS($A$1:$A$230,"="&amp;$A7&amp;"?",$B$1:$B$230,"",$L$1:$L$230,"&gt;=0",Q$1:Q$230,"=2")*(IF(Capa!$B$6="B",100,IF(Capa!$B$6=1,100,IF(Capa!$B$6=2,67,50))))+COUNTIFS($A$1:$A$230,"="&amp;$A7&amp;"?",$B$1:$B$230,"",$L$1:$L$230,"&gt;=0",Q$1:Q$230,"=3")*(IF(Capa!$B$6="B",100,IF(Capa!$B$6=1,100,IF(Capa!$B$6=2,100,75))))+COUNTIFS($A$1:$A$230,"="&amp;$A7&amp;"?",$B$1:$B$230,"",$L$1:$L$230,"&gt;=0",Q$1:Q$230,"=4")*100)/(COUNTIFS($A$1:$A$230,"="&amp;$A7&amp;"?",$B$1:$B$230,"",$L$1:$L$230,"&gt;=0")*100)</f>
        <v>0</v>
      </c>
      <c r="R8" s="100">
        <f>(COUNTIFS($A$1:$A$230,"="&amp;$A7&amp;"?",$B$1:$B$230,"&gt;0",$D$1:$D$230,"=PG",R$1:R$230,"=1")*(IF(Capa!$B$6="B",100,IF(Capa!$B$6=1,50,IF(Capa!$B$6=2,33,25))))+COUNTIFS($A$1:$A$230,"="&amp;$A7&amp;"?",$B$1:$B$230,"&gt;0",$D$1:$D$230,"=PG",R$1:R$230,"=2")*(IF(Capa!$B$6="B",100,IF(Capa!$B$6=1,100,IF(Capa!$B$6=2,67,50))))+COUNTIFS($A$1:$A$230,"="&amp;$A7&amp;"?",$B$1:$B$230,"&gt;0",$D$1:$D$230,"=PG",R$1:R$230,"=3")*(IF(Capa!$B$6="B",100,IF(Capa!$B$6=1,100,IF(Capa!$B$6=2,100,75))))+COUNTIFS($A$1:$A$230,"="&amp;$A7&amp;"?",$B$1:$B$230,"&gt;0",$D$1:$D$230,"=PG",R$1:R$230,"=4")*100)/(COUNTIFS($A$1:$A$230,"="&amp;$A7&amp;"?",$B$1:$B$230,"&gt;0",$D$1:$D$230,"=PG")*100)</f>
        <v>0</v>
      </c>
      <c r="S8" s="100">
        <f>(COUNTIFS($A$1:$A$230,"="&amp;$A7&amp;"?",$B$1:$B$230,"&gt;0",$D$1:$D$230,"=PG",S$1:S$230,"=1")*(IF(Capa!$B$6="B",100,IF(Capa!$B$6=1,50,IF(Capa!$B$6=2,33,25))))+COUNTIFS($A$1:$A$230,"="&amp;$A7&amp;"?",$B$1:$B$230,"&gt;0",$D$1:$D$230,"=PG",S$1:S$230,"=2")*(IF(Capa!$B$6="B",100,IF(Capa!$B$6=1,100,IF(Capa!$B$6=2,67,50))))+COUNTIFS($A$1:$A$230,"="&amp;$A7&amp;"?",$B$1:$B$230,"&gt;0",$D$1:$D$230,"=PG",S$1:S$230,"=3")*(IF(Capa!$B$6="B",100,IF(Capa!$B$6=1,100,IF(Capa!$B$6=2,100,75))))+COUNTIFS($A$1:$A$230,"="&amp;$A7&amp;"?",$B$1:$B$230,"&gt;0",$D$1:$D$230,"=PG",S$1:S$230,"=4")*100)/(COUNTIFS($A$1:$A$230,"="&amp;$A7&amp;"?",$B$1:$B$230,"&gt;0",$D$1:$D$230,"=PG")*100)</f>
        <v>0</v>
      </c>
      <c r="T8" s="414">
        <f>T11+T29+T46+T66+T86</f>
        <v>0</v>
      </c>
      <c r="U8" s="100"/>
      <c r="V8" s="465"/>
      <c r="W8" s="478"/>
      <c r="X8" s="522"/>
      <c r="Y8" s="522"/>
      <c r="Z8" s="522"/>
      <c r="AA8" s="522"/>
      <c r="AB8" s="522"/>
    </row>
    <row r="9" spans="1:28" x14ac:dyDescent="0.25">
      <c r="A9" s="210" t="s">
        <v>528</v>
      </c>
      <c r="B9" s="7" t="str">
        <f>IF(  AND(ISNUMBER(C9),OR(ISNUMBER(D9),D9="PG")),IF(IF(Capa!$B$6="B",0,Capa!$B$6)&gt;=C9,1,0),"")</f>
        <v/>
      </c>
      <c r="C9" s="11" t="str">
        <f t="shared" si="0"/>
        <v/>
      </c>
      <c r="D9" s="15"/>
      <c r="E9" s="258" t="s">
        <v>529</v>
      </c>
      <c r="F9" s="23"/>
      <c r="G9" s="219"/>
      <c r="H9" s="219"/>
      <c r="I9" s="23"/>
      <c r="J9" s="219"/>
      <c r="K9" s="259"/>
      <c r="L9" s="383">
        <f>IF(AND($B11=1,D11="PG"),IF(COUNTIFS($A$1:$A$230,"="&amp;$A9,$B$1:$B$230,"&gt;0",$D$1:$D$230,"&gt;0")&gt;0,
        (COUNTIFS($A$1:$A$230,"="&amp;$A9,$B$1:$B$230,"&gt;0",$D$1:$D$230,"&gt;0",F$1:F$230,"=S",I$1:I$230,"") +
         (COUNTIFS($A$1:$A$230,"="&amp;$A9,$B$1:$B$230,"&gt;0",$D$1:$D$230,"&gt;0",$F$1:$F$230,"=P",I$1:I$230,"")/2) +
         COUNTIFS($A$1:$A$230,"="&amp;$A9,$B$1:$B$230,"&gt;0",$D$1:$D$230,"&gt;0",I$1:I$230,"=S") +
         (COUNTIFS($A$1:$A$230,"="&amp;$A9,$B$1:$B$230,"&gt;0",$D$1:$D$230,"&gt;0",I$1:I$230,"=P")/2)
         )/COUNTIFS($A$1:$A$230,"="&amp;$A9,$B$1:$B$230,"&gt;0",$D$1:$D$230,"&gt;0"),1),"")</f>
        <v>0</v>
      </c>
      <c r="M9" s="380"/>
      <c r="N9" s="70"/>
      <c r="O9" s="68"/>
      <c r="P9" s="68"/>
      <c r="Q9" s="83">
        <f>IF(L9="","",MIN(IF(ISBLANK(Q11),0,Q11),IF(L9&gt;0.9,4,IF(L9&gt;0.5,3,IF(L9&gt;0.3,2,IF(OR(L9&gt;0,Q11&gt;0),1,0))))))</f>
        <v>0</v>
      </c>
      <c r="R9" s="61"/>
      <c r="S9" s="282"/>
      <c r="T9" s="282"/>
      <c r="U9" s="282"/>
      <c r="V9" s="545"/>
      <c r="W9" s="66"/>
      <c r="X9" s="579"/>
      <c r="Y9" s="579"/>
      <c r="Z9" s="579"/>
      <c r="AA9" s="579"/>
      <c r="AB9" s="579"/>
    </row>
    <row r="10" spans="1:28" ht="6" customHeight="1" x14ac:dyDescent="0.25">
      <c r="A10" s="210" t="s">
        <v>528</v>
      </c>
      <c r="B10" s="7" t="str">
        <f>IF(  AND(ISNUMBER(C10),OR(ISNUMBER(D10),D10="PG")),IF(IF(Capa!$B$6="B",0,Capa!$B$6)&gt;=C10,1,0),"")</f>
        <v/>
      </c>
      <c r="C10" s="6">
        <f t="shared" si="0"/>
        <v>0</v>
      </c>
      <c r="D10" s="5" t="s">
        <v>53</v>
      </c>
      <c r="E10" s="248"/>
      <c r="F10" s="26"/>
      <c r="G10" s="264"/>
      <c r="H10" s="239"/>
      <c r="I10" s="26"/>
      <c r="J10" s="239"/>
      <c r="K10" s="265"/>
      <c r="L10" s="242"/>
      <c r="M10" s="59"/>
      <c r="N10" s="59"/>
      <c r="O10" s="59"/>
      <c r="P10" s="59"/>
      <c r="Q10" s="59"/>
      <c r="R10" s="59"/>
      <c r="S10" s="262"/>
      <c r="T10" s="262"/>
      <c r="U10" s="355"/>
      <c r="V10" s="465"/>
      <c r="W10" s="478"/>
      <c r="X10" s="522"/>
      <c r="Y10" s="522"/>
      <c r="Z10" s="522"/>
      <c r="AA10" s="522"/>
      <c r="AB10" s="522"/>
    </row>
    <row r="11" spans="1:28" ht="51" x14ac:dyDescent="0.25">
      <c r="A11" s="646" t="s">
        <v>528</v>
      </c>
      <c r="B11" s="7">
        <f>IF(  AND(ISNUMBER(C11),OR(ISNUMBER(D11),D11="PG")),IF(IF(Capa!$B$6="B",0,Capa!$B$6)&gt;=C11,1,0),"")</f>
        <v>1</v>
      </c>
      <c r="C11" s="6">
        <f t="shared" si="0"/>
        <v>0</v>
      </c>
      <c r="D11" s="647" t="s">
        <v>54</v>
      </c>
      <c r="E11" s="389" t="s">
        <v>530</v>
      </c>
      <c r="F11" s="513"/>
      <c r="G11" s="468"/>
      <c r="H11" s="241"/>
      <c r="I11" s="29"/>
      <c r="J11" s="239"/>
      <c r="K11" s="471"/>
      <c r="L11" s="697"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476"/>
      <c r="X11" s="666"/>
      <c r="Y11" s="522"/>
      <c r="Z11" s="522"/>
      <c r="AA11" s="522"/>
      <c r="AB11" s="522"/>
    </row>
    <row r="12" spans="1:28" ht="30" x14ac:dyDescent="0.25">
      <c r="A12" s="646" t="s">
        <v>528</v>
      </c>
      <c r="B12" s="7">
        <f>IF(  AND(ISNUMBER(C12),OR(ISNUMBER(D12),D12="PG")),IF(IF(Capa!$B$6="B",0,Capa!$B$6)&gt;=C12,1,0),"")</f>
        <v>1</v>
      </c>
      <c r="C12" s="6">
        <f t="shared" si="0"/>
        <v>0</v>
      </c>
      <c r="D12" s="647">
        <v>327</v>
      </c>
      <c r="E12" s="352" t="s">
        <v>531</v>
      </c>
      <c r="F12" s="513"/>
      <c r="G12" s="468"/>
      <c r="H12" s="241"/>
      <c r="I12" s="29"/>
      <c r="J12" s="425">
        <f t="shared" ref="J12:J25" si="1">LEN(K12)</f>
        <v>0</v>
      </c>
      <c r="K12" s="471"/>
      <c r="L12" s="697" t="str">
        <f t="shared" ref="L12:L25" si="2">IF(OR(I12="N",I12="P"),1,"")</f>
        <v/>
      </c>
      <c r="M12" s="719"/>
      <c r="N12" s="720"/>
      <c r="O12" s="720"/>
      <c r="P12" s="720"/>
      <c r="Q12" s="720"/>
      <c r="R12" s="720"/>
      <c r="S12" s="720"/>
      <c r="T12" s="721"/>
      <c r="U12" s="71"/>
      <c r="V12" s="464"/>
      <c r="W12" s="476"/>
      <c r="X12" s="522"/>
      <c r="Y12" s="522"/>
      <c r="Z12" s="522"/>
      <c r="AA12" s="522"/>
      <c r="AB12" s="522"/>
    </row>
    <row r="13" spans="1:28" ht="4.7" customHeight="1" x14ac:dyDescent="0.25">
      <c r="A13" s="646" t="s">
        <v>528</v>
      </c>
      <c r="B13" s="7" t="str">
        <f>IF(  AND(ISNUMBER(C13),OR(ISNUMBER(D13),D13="PG")),IF(IF(Capa!$B$6="B",0,Capa!$B$6)&gt;=C13,1,0),"")</f>
        <v/>
      </c>
      <c r="C13" s="6">
        <f t="shared" si="0"/>
        <v>1</v>
      </c>
      <c r="D13" s="647" t="s">
        <v>62</v>
      </c>
      <c r="E13" s="352"/>
      <c r="F13" s="513"/>
      <c r="G13" s="468"/>
      <c r="H13" s="241"/>
      <c r="I13" s="29"/>
      <c r="J13" s="425">
        <f t="shared" si="1"/>
        <v>0</v>
      </c>
      <c r="K13" s="471"/>
      <c r="L13" s="697" t="str">
        <f t="shared" si="2"/>
        <v/>
      </c>
      <c r="M13" s="719"/>
      <c r="N13" s="720"/>
      <c r="O13" s="720"/>
      <c r="P13" s="720"/>
      <c r="Q13" s="720"/>
      <c r="R13" s="720"/>
      <c r="S13" s="720"/>
      <c r="T13" s="721"/>
      <c r="U13" s="71"/>
      <c r="V13" s="464"/>
      <c r="W13" s="476"/>
      <c r="X13" s="522"/>
      <c r="Y13" s="522"/>
      <c r="Z13" s="522"/>
      <c r="AA13" s="522"/>
      <c r="AB13" s="522"/>
    </row>
    <row r="14" spans="1:28" ht="60" x14ac:dyDescent="0.25">
      <c r="A14" s="646" t="s">
        <v>528</v>
      </c>
      <c r="B14" s="7">
        <f>IF(  AND(ISNUMBER(C14),OR(ISNUMBER(D14),D14="PG")),IF(IF(Capa!$B$6="B",0,Capa!$B$6)&gt;=C14,1,0),"")</f>
        <v>0</v>
      </c>
      <c r="C14" s="6">
        <f t="shared" si="0"/>
        <v>1</v>
      </c>
      <c r="D14" s="647">
        <v>328</v>
      </c>
      <c r="E14" s="352" t="s">
        <v>532</v>
      </c>
      <c r="F14" s="513"/>
      <c r="G14" s="468"/>
      <c r="H14" s="241"/>
      <c r="I14" s="29"/>
      <c r="J14" s="425">
        <f t="shared" si="1"/>
        <v>0</v>
      </c>
      <c r="K14" s="471"/>
      <c r="L14" s="697" t="str">
        <f t="shared" si="2"/>
        <v/>
      </c>
      <c r="M14" s="719"/>
      <c r="N14" s="720"/>
      <c r="O14" s="720"/>
      <c r="P14" s="720"/>
      <c r="Q14" s="720"/>
      <c r="R14" s="720"/>
      <c r="S14" s="720"/>
      <c r="T14" s="721"/>
      <c r="U14" s="71"/>
      <c r="V14" s="464"/>
      <c r="W14" s="476"/>
      <c r="X14" s="522"/>
      <c r="Y14" s="522"/>
      <c r="Z14" s="522"/>
      <c r="AA14" s="522"/>
      <c r="AB14" s="522"/>
    </row>
    <row r="15" spans="1:28" ht="30" x14ac:dyDescent="0.25">
      <c r="A15" s="646" t="s">
        <v>528</v>
      </c>
      <c r="B15" s="7">
        <f>IF(  AND(ISNUMBER(C15),OR(ISNUMBER(D15),D15="PG")),IF(IF(Capa!$B$6="B",0,Capa!$B$6)&gt;=C15,1,0),"")</f>
        <v>0</v>
      </c>
      <c r="C15" s="6">
        <f t="shared" si="0"/>
        <v>1</v>
      </c>
      <c r="D15" s="647">
        <v>329</v>
      </c>
      <c r="E15" s="352" t="s">
        <v>533</v>
      </c>
      <c r="F15" s="513"/>
      <c r="G15" s="468"/>
      <c r="H15" s="241"/>
      <c r="I15" s="29"/>
      <c r="J15" s="425">
        <f t="shared" si="1"/>
        <v>0</v>
      </c>
      <c r="K15" s="471"/>
      <c r="L15" s="697" t="str">
        <f t="shared" si="2"/>
        <v/>
      </c>
      <c r="M15" s="719"/>
      <c r="N15" s="720"/>
      <c r="O15" s="720"/>
      <c r="P15" s="720"/>
      <c r="Q15" s="720"/>
      <c r="R15" s="720"/>
      <c r="S15" s="720"/>
      <c r="T15" s="721"/>
      <c r="U15" s="71"/>
      <c r="V15" s="464"/>
      <c r="W15" s="476"/>
      <c r="X15" s="522"/>
      <c r="Y15" s="522"/>
      <c r="Z15" s="522"/>
      <c r="AA15" s="522"/>
      <c r="AB15" s="522"/>
    </row>
    <row r="16" spans="1:28" ht="6.6" customHeight="1" x14ac:dyDescent="0.25">
      <c r="A16" s="646" t="s">
        <v>528</v>
      </c>
      <c r="B16" s="7" t="str">
        <f>IF(  AND(ISNUMBER(C16),OR(ISNUMBER(D16),D16="PG")),IF(IF(Capa!$B$6="B",0,Capa!$B$6)&gt;=C16,1,0),"")</f>
        <v/>
      </c>
      <c r="C16" s="6">
        <f t="shared" si="0"/>
        <v>2</v>
      </c>
      <c r="D16" s="647" t="s">
        <v>64</v>
      </c>
      <c r="E16" s="352"/>
      <c r="F16" s="513"/>
      <c r="G16" s="468"/>
      <c r="H16" s="241"/>
      <c r="I16" s="29"/>
      <c r="J16" s="425">
        <f t="shared" si="1"/>
        <v>0</v>
      </c>
      <c r="K16" s="471"/>
      <c r="L16" s="697" t="str">
        <f t="shared" si="2"/>
        <v/>
      </c>
      <c r="M16" s="719"/>
      <c r="N16" s="720"/>
      <c r="O16" s="720"/>
      <c r="P16" s="720"/>
      <c r="Q16" s="720"/>
      <c r="R16" s="720"/>
      <c r="S16" s="720"/>
      <c r="T16" s="721"/>
      <c r="U16" s="71"/>
      <c r="V16" s="464"/>
      <c r="W16" s="476"/>
      <c r="X16" s="522"/>
      <c r="Y16" s="522"/>
      <c r="Z16" s="522"/>
      <c r="AA16" s="522"/>
      <c r="AB16" s="522"/>
    </row>
    <row r="17" spans="1:28" ht="75" x14ac:dyDescent="0.25">
      <c r="A17" s="646" t="s">
        <v>528</v>
      </c>
      <c r="B17" s="7">
        <f>IF(  AND(ISNUMBER(C17),OR(ISNUMBER(D17),D17="PG")),IF(IF(Capa!$B$6="B",0,Capa!$B$6)&gt;=C17,1,0),"")</f>
        <v>0</v>
      </c>
      <c r="C17" s="6">
        <f t="shared" si="0"/>
        <v>2</v>
      </c>
      <c r="D17" s="647">
        <v>330</v>
      </c>
      <c r="E17" s="352" t="s">
        <v>534</v>
      </c>
      <c r="F17" s="513"/>
      <c r="G17" s="468"/>
      <c r="H17" s="241"/>
      <c r="I17" s="29"/>
      <c r="J17" s="425">
        <f t="shared" si="1"/>
        <v>0</v>
      </c>
      <c r="K17" s="471"/>
      <c r="L17" s="697" t="str">
        <f t="shared" si="2"/>
        <v/>
      </c>
      <c r="M17" s="719"/>
      <c r="N17" s="720"/>
      <c r="O17" s="720"/>
      <c r="P17" s="720"/>
      <c r="Q17" s="720"/>
      <c r="R17" s="720"/>
      <c r="S17" s="720"/>
      <c r="T17" s="721"/>
      <c r="U17" s="71"/>
      <c r="V17" s="464"/>
      <c r="W17" s="476"/>
      <c r="X17" s="522"/>
      <c r="Y17" s="522"/>
      <c r="Z17" s="522"/>
      <c r="AA17" s="522"/>
      <c r="AB17" s="522"/>
    </row>
    <row r="18" spans="1:28" ht="61.35" customHeight="1" x14ac:dyDescent="0.25">
      <c r="A18" s="646" t="s">
        <v>528</v>
      </c>
      <c r="B18" s="7">
        <f>IF(  AND(ISNUMBER(C18),OR(ISNUMBER(D18),D18="PG")),IF(IF(Capa!$B$6="B",0,Capa!$B$6)&gt;=C18,1,0),"")</f>
        <v>0</v>
      </c>
      <c r="C18" s="6">
        <f t="shared" si="0"/>
        <v>2</v>
      </c>
      <c r="D18" s="647">
        <v>331</v>
      </c>
      <c r="E18" s="352" t="s">
        <v>535</v>
      </c>
      <c r="F18" s="513"/>
      <c r="G18" s="468"/>
      <c r="H18" s="241"/>
      <c r="I18" s="29"/>
      <c r="J18" s="425">
        <f t="shared" si="1"/>
        <v>0</v>
      </c>
      <c r="K18" s="471"/>
      <c r="L18" s="697" t="str">
        <f t="shared" si="2"/>
        <v/>
      </c>
      <c r="M18" s="719"/>
      <c r="N18" s="720"/>
      <c r="O18" s="720"/>
      <c r="P18" s="720"/>
      <c r="Q18" s="720"/>
      <c r="R18" s="720"/>
      <c r="S18" s="720"/>
      <c r="T18" s="721"/>
      <c r="U18" s="71"/>
      <c r="V18" s="464"/>
      <c r="W18" s="476"/>
      <c r="X18" s="522"/>
      <c r="Y18" s="522"/>
      <c r="Z18" s="522"/>
      <c r="AA18" s="522"/>
      <c r="AB18" s="522"/>
    </row>
    <row r="19" spans="1:28" ht="60" x14ac:dyDescent="0.25">
      <c r="A19" s="646" t="s">
        <v>528</v>
      </c>
      <c r="B19" s="7">
        <f>IF(  AND(ISNUMBER(C19),OR(ISNUMBER(D19),D19="PG")),IF(IF(Capa!$B$6="B",0,Capa!$B$6)&gt;=C19,1,0),"")</f>
        <v>0</v>
      </c>
      <c r="C19" s="6">
        <f t="shared" si="0"/>
        <v>2</v>
      </c>
      <c r="D19" s="647">
        <v>332</v>
      </c>
      <c r="E19" s="352" t="s">
        <v>536</v>
      </c>
      <c r="F19" s="513"/>
      <c r="G19" s="468"/>
      <c r="H19" s="241"/>
      <c r="I19" s="29"/>
      <c r="J19" s="425">
        <f t="shared" si="1"/>
        <v>0</v>
      </c>
      <c r="K19" s="471"/>
      <c r="L19" s="697" t="str">
        <f t="shared" si="2"/>
        <v/>
      </c>
      <c r="M19" s="719"/>
      <c r="N19" s="720"/>
      <c r="O19" s="720"/>
      <c r="P19" s="720"/>
      <c r="Q19" s="720"/>
      <c r="R19" s="720"/>
      <c r="S19" s="720"/>
      <c r="T19" s="721"/>
      <c r="U19" s="71"/>
      <c r="V19" s="464"/>
      <c r="W19" s="476"/>
      <c r="X19" s="522"/>
      <c r="Y19" s="522"/>
      <c r="Z19" s="522"/>
      <c r="AA19" s="522"/>
      <c r="AB19" s="522"/>
    </row>
    <row r="20" spans="1:28" ht="6.6" customHeight="1" x14ac:dyDescent="0.25">
      <c r="A20" s="646" t="s">
        <v>528</v>
      </c>
      <c r="B20" s="7" t="str">
        <f>IF(  AND(ISNUMBER(C20),OR(ISNUMBER(D20),D20="PG")),IF(IF(Capa!$B$6="B",0,Capa!$B$6)&gt;=C20,1,0),"")</f>
        <v/>
      </c>
      <c r="C20" s="6">
        <f t="shared" si="0"/>
        <v>3</v>
      </c>
      <c r="D20" s="647" t="s">
        <v>70</v>
      </c>
      <c r="E20" s="352"/>
      <c r="F20" s="513"/>
      <c r="G20" s="468"/>
      <c r="H20" s="241"/>
      <c r="I20" s="29"/>
      <c r="J20" s="425">
        <f t="shared" si="1"/>
        <v>0</v>
      </c>
      <c r="K20" s="471"/>
      <c r="L20" s="697" t="str">
        <f t="shared" si="2"/>
        <v/>
      </c>
      <c r="M20" s="719"/>
      <c r="N20" s="720"/>
      <c r="O20" s="720"/>
      <c r="P20" s="720"/>
      <c r="Q20" s="720"/>
      <c r="R20" s="720"/>
      <c r="S20" s="720"/>
      <c r="T20" s="721"/>
      <c r="U20" s="71"/>
      <c r="V20" s="464"/>
      <c r="W20" s="476"/>
      <c r="X20" s="522"/>
      <c r="Y20" s="522"/>
      <c r="Z20" s="522"/>
      <c r="AA20" s="522"/>
      <c r="AB20" s="522"/>
    </row>
    <row r="21" spans="1:28" ht="54" customHeight="1" x14ac:dyDescent="0.25">
      <c r="A21" s="646" t="s">
        <v>528</v>
      </c>
      <c r="B21" s="7">
        <f>IF(  AND(ISNUMBER(C21),OR(ISNUMBER(D21),D21="PG")),IF(IF(Capa!$B$6="B",0,Capa!$B$6)&gt;=C21,1,0),"")</f>
        <v>0</v>
      </c>
      <c r="C21" s="6">
        <f t="shared" si="0"/>
        <v>3</v>
      </c>
      <c r="D21" s="647">
        <v>333</v>
      </c>
      <c r="E21" s="352" t="s">
        <v>537</v>
      </c>
      <c r="F21" s="513"/>
      <c r="G21" s="468"/>
      <c r="H21" s="241"/>
      <c r="I21" s="29"/>
      <c r="J21" s="425">
        <f t="shared" si="1"/>
        <v>0</v>
      </c>
      <c r="K21" s="471"/>
      <c r="L21" s="697" t="str">
        <f t="shared" si="2"/>
        <v/>
      </c>
      <c r="M21" s="719"/>
      <c r="N21" s="720"/>
      <c r="O21" s="720"/>
      <c r="P21" s="720"/>
      <c r="Q21" s="720"/>
      <c r="R21" s="720"/>
      <c r="S21" s="720"/>
      <c r="T21" s="721"/>
      <c r="U21" s="71"/>
      <c r="V21" s="464"/>
      <c r="W21" s="476"/>
      <c r="X21" s="522"/>
      <c r="Y21" s="522"/>
      <c r="Z21" s="522"/>
      <c r="AA21" s="522"/>
      <c r="AB21" s="522"/>
    </row>
    <row r="22" spans="1:28" ht="34.35" customHeight="1" x14ac:dyDescent="0.25">
      <c r="A22" s="646" t="s">
        <v>528</v>
      </c>
      <c r="B22" s="7">
        <f>IF(  AND(ISNUMBER(C22),OR(ISNUMBER(D22),D22="PG")),IF(IF(Capa!$B$6="B",0,Capa!$B$6)&gt;=C22,1,0),"")</f>
        <v>0</v>
      </c>
      <c r="C22" s="6">
        <f t="shared" si="0"/>
        <v>3</v>
      </c>
      <c r="D22" s="647">
        <v>334</v>
      </c>
      <c r="E22" s="352" t="s">
        <v>538</v>
      </c>
      <c r="F22" s="513"/>
      <c r="G22" s="468"/>
      <c r="H22" s="241"/>
      <c r="I22" s="29"/>
      <c r="J22" s="425">
        <f t="shared" si="1"/>
        <v>0</v>
      </c>
      <c r="K22" s="471"/>
      <c r="L22" s="697" t="str">
        <f t="shared" si="2"/>
        <v/>
      </c>
      <c r="M22" s="719"/>
      <c r="N22" s="720"/>
      <c r="O22" s="720"/>
      <c r="P22" s="720"/>
      <c r="Q22" s="720"/>
      <c r="R22" s="720"/>
      <c r="S22" s="720"/>
      <c r="T22" s="721"/>
      <c r="U22" s="71"/>
      <c r="V22" s="464"/>
      <c r="W22" s="476"/>
      <c r="X22" s="522"/>
      <c r="Y22" s="522"/>
      <c r="Z22" s="522"/>
      <c r="AA22" s="522"/>
      <c r="AB22" s="522"/>
    </row>
    <row r="23" spans="1:28" ht="51" customHeight="1" x14ac:dyDescent="0.25">
      <c r="A23" s="646" t="s">
        <v>528</v>
      </c>
      <c r="B23" s="7">
        <f>IF(  AND(ISNUMBER(C23),OR(ISNUMBER(D23),D23="PG")),IF(IF(Capa!$B$6="B",0,Capa!$B$6)&gt;=C23,1,0),"")</f>
        <v>0</v>
      </c>
      <c r="C23" s="6">
        <f t="shared" si="0"/>
        <v>3</v>
      </c>
      <c r="D23" s="647">
        <v>335</v>
      </c>
      <c r="E23" s="352" t="s">
        <v>539</v>
      </c>
      <c r="F23" s="513"/>
      <c r="G23" s="468"/>
      <c r="H23" s="241"/>
      <c r="I23" s="29"/>
      <c r="J23" s="425">
        <f t="shared" si="1"/>
        <v>0</v>
      </c>
      <c r="K23" s="471"/>
      <c r="L23" s="697" t="str">
        <f t="shared" si="2"/>
        <v/>
      </c>
      <c r="M23" s="719"/>
      <c r="N23" s="720"/>
      <c r="O23" s="720"/>
      <c r="P23" s="720"/>
      <c r="Q23" s="720"/>
      <c r="R23" s="720"/>
      <c r="S23" s="720"/>
      <c r="T23" s="721"/>
      <c r="U23" s="71"/>
      <c r="V23" s="464"/>
      <c r="W23" s="476"/>
      <c r="X23" s="522"/>
      <c r="Y23" s="522"/>
      <c r="Z23" s="522"/>
      <c r="AA23" s="522"/>
      <c r="AB23" s="522"/>
    </row>
    <row r="24" spans="1:28" ht="30" x14ac:dyDescent="0.25">
      <c r="A24" s="646" t="s">
        <v>528</v>
      </c>
      <c r="B24" s="7">
        <f>IF(  AND(ISNUMBER(C24),OR(ISNUMBER(D24),D24="PG")),IF(IF(Capa!$B$6="B",0,Capa!$B$6)&gt;=C24,1,0),"")</f>
        <v>0</v>
      </c>
      <c r="C24" s="6">
        <f t="shared" si="0"/>
        <v>3</v>
      </c>
      <c r="D24" s="647">
        <v>336</v>
      </c>
      <c r="E24" s="398" t="s">
        <v>540</v>
      </c>
      <c r="F24" s="513"/>
      <c r="G24" s="468"/>
      <c r="H24" s="241"/>
      <c r="I24" s="29"/>
      <c r="J24" s="425">
        <f t="shared" si="1"/>
        <v>0</v>
      </c>
      <c r="K24" s="471"/>
      <c r="L24" s="697" t="str">
        <f t="shared" si="2"/>
        <v/>
      </c>
      <c r="M24" s="719"/>
      <c r="N24" s="720"/>
      <c r="O24" s="720"/>
      <c r="P24" s="720"/>
      <c r="Q24" s="720"/>
      <c r="R24" s="720"/>
      <c r="S24" s="720"/>
      <c r="T24" s="721"/>
      <c r="U24" s="71"/>
      <c r="V24" s="464"/>
      <c r="W24" s="476"/>
      <c r="X24" s="522"/>
      <c r="Y24" s="522"/>
      <c r="Z24" s="522"/>
      <c r="AA24" s="522"/>
      <c r="AB24" s="522"/>
    </row>
    <row r="25" spans="1:28" ht="30" x14ac:dyDescent="0.25">
      <c r="A25" s="646" t="s">
        <v>528</v>
      </c>
      <c r="B25" s="7">
        <f>IF(  AND(ISNUMBER(C25),OR(ISNUMBER(D25),D25="PG")),IF(IF(Capa!$B$6="B",0,Capa!$B$6)&gt;=C25,1,0),"")</f>
        <v>0</v>
      </c>
      <c r="C25" s="6">
        <f t="shared" si="0"/>
        <v>3</v>
      </c>
      <c r="D25" s="647">
        <v>337</v>
      </c>
      <c r="E25" s="411" t="s">
        <v>541</v>
      </c>
      <c r="F25" s="513"/>
      <c r="G25" s="468"/>
      <c r="H25" s="241"/>
      <c r="I25" s="29"/>
      <c r="J25" s="425">
        <f t="shared" si="1"/>
        <v>0</v>
      </c>
      <c r="K25" s="471"/>
      <c r="L25" s="697" t="str">
        <f t="shared" si="2"/>
        <v/>
      </c>
      <c r="M25" s="719"/>
      <c r="N25" s="720"/>
      <c r="O25" s="720"/>
      <c r="P25" s="720"/>
      <c r="Q25" s="720"/>
      <c r="R25" s="720"/>
      <c r="S25" s="720"/>
      <c r="T25" s="721"/>
      <c r="U25" s="71"/>
      <c r="V25" s="464"/>
      <c r="W25" s="476"/>
      <c r="X25" s="522"/>
      <c r="Y25" s="522"/>
      <c r="Z25" s="522"/>
      <c r="AA25" s="522"/>
      <c r="AB25" s="522"/>
    </row>
    <row r="26" spans="1:28" ht="8.1" customHeight="1" x14ac:dyDescent="0.25">
      <c r="B26" s="7" t="str">
        <f>IF(  AND(ISNUMBER(C26),OR(ISNUMBER(D26),D26="PG")),IF(IF(Capa!$B$6="B",0,Capa!$B$6)&gt;=C26,1,0),"")</f>
        <v/>
      </c>
      <c r="C26" s="6" t="str">
        <f t="shared" si="0"/>
        <v/>
      </c>
      <c r="D26" s="122"/>
      <c r="E26" s="291"/>
      <c r="F26" s="123"/>
      <c r="G26" s="227"/>
      <c r="H26" s="227"/>
      <c r="I26" s="123"/>
      <c r="J26" s="227"/>
      <c r="K26" s="694"/>
      <c r="L26" s="219"/>
      <c r="M26" s="124"/>
      <c r="N26" s="124"/>
      <c r="O26" s="124"/>
      <c r="P26" s="124"/>
      <c r="Q26" s="124"/>
      <c r="R26" s="124"/>
      <c r="S26" s="251"/>
      <c r="T26" s="251"/>
      <c r="U26" s="260"/>
      <c r="V26" s="547"/>
      <c r="W26" s="125"/>
      <c r="X26" s="522"/>
      <c r="Y26" s="522"/>
      <c r="Z26" s="522"/>
      <c r="AA26" s="522"/>
      <c r="AB26" s="522"/>
    </row>
    <row r="27" spans="1:28" x14ac:dyDescent="0.25">
      <c r="A27" s="210" t="s">
        <v>542</v>
      </c>
      <c r="B27" s="7" t="str">
        <f>IF(  AND(ISNUMBER(C27),OR(ISNUMBER(D27),D27="PG")),IF(IF(Capa!$B$6="B",0,Capa!$B$6)&gt;=C27,1,0),"")</f>
        <v/>
      </c>
      <c r="C27" s="6" t="str">
        <f t="shared" si="0"/>
        <v/>
      </c>
      <c r="D27" s="15"/>
      <c r="E27" s="395" t="s">
        <v>543</v>
      </c>
      <c r="F27" s="23"/>
      <c r="G27" s="470"/>
      <c r="H27" s="219"/>
      <c r="I27" s="23"/>
      <c r="J27" s="219"/>
      <c r="K27" s="504"/>
      <c r="L27" s="383">
        <f>IF(AND($B29=1,D29="PG"),IF(COUNTIFS($A$1:$A$230,"="&amp;$A27,$B$1:$B$230,"&gt;0",$D$1:$D$230,"&gt;0")&gt;0,
        (COUNTIFS($A$1:$A$230,"="&amp;$A27,$B$1:$B$230,"&gt;0",$D$1:$D$230,"&gt;0",F$1:F$230,"=S",I$1:I$230,"") +
         (COUNTIFS($A$1:$A$230,"="&amp;$A27,$B$1:$B$230,"&gt;0",$D$1:$D$230,"&gt;0",$F$1:$F$230,"=P",I$1:I$230,"")/2) +
         COUNTIFS($A$1:$A$230,"="&amp;$A27,$B$1:$B$230,"&gt;0",$D$1:$D$230,"&gt;0",I$1:I$230,"=S") +
         (COUNTIFS($A$1:$A$230,"="&amp;$A27,$B$1:$B$230,"&gt;0",$D$1:$D$230,"&gt;0",I$1:I$230,"=P")/2)
         )/COUNTIFS($A$1:$A$230,"="&amp;$A27,$B$1:$B$230,"&gt;0",$D$1:$D$230,"&gt;0"),1),"")</f>
        <v>0</v>
      </c>
      <c r="M27" s="380"/>
      <c r="N27" s="70"/>
      <c r="O27" s="68"/>
      <c r="P27" s="68"/>
      <c r="Q27" s="83">
        <f>IF(L27="","",MIN(IF(ISBLANK(Q29),0,Q29),IF(L27&gt;0.9,4,IF(L27&gt;0.5,3,IF(L27&gt;0.3,2,IF(OR(L27&gt;0,Q29&gt;0),1,0))))))</f>
        <v>0</v>
      </c>
      <c r="R27" s="70"/>
      <c r="S27" s="260"/>
      <c r="T27" s="260"/>
      <c r="U27" s="260"/>
      <c r="V27" s="545"/>
      <c r="W27" s="66"/>
      <c r="X27" s="579"/>
      <c r="Y27" s="579"/>
      <c r="Z27" s="579"/>
      <c r="AA27" s="579"/>
      <c r="AB27" s="579"/>
    </row>
    <row r="28" spans="1:28" ht="5.45" customHeight="1" x14ac:dyDescent="0.25">
      <c r="A28" s="210" t="s">
        <v>542</v>
      </c>
      <c r="B28" s="7" t="str">
        <f>IF(  AND(ISNUMBER(C28),OR(ISNUMBER(D28),D28="PG")),IF(IF(Capa!$B$6="B",0,Capa!$B$6)&gt;=C28,1,0),"")</f>
        <v/>
      </c>
      <c r="C28" s="6">
        <f t="shared" si="0"/>
        <v>0</v>
      </c>
      <c r="D28" s="5" t="s">
        <v>53</v>
      </c>
      <c r="E28" s="391"/>
      <c r="F28" s="26"/>
      <c r="G28" s="567"/>
      <c r="H28" s="239"/>
      <c r="I28" s="26"/>
      <c r="J28" s="239"/>
      <c r="K28" s="695"/>
      <c r="L28" s="354"/>
      <c r="M28" s="59"/>
      <c r="N28" s="59"/>
      <c r="O28" s="59"/>
      <c r="P28" s="59"/>
      <c r="Q28" s="59"/>
      <c r="R28" s="59"/>
      <c r="S28" s="262"/>
      <c r="T28" s="262"/>
      <c r="U28" s="355"/>
      <c r="V28" s="465"/>
      <c r="W28" s="478"/>
      <c r="X28" s="522"/>
      <c r="Y28" s="522"/>
      <c r="Z28" s="522"/>
      <c r="AA28" s="522"/>
      <c r="AB28" s="522"/>
    </row>
    <row r="29" spans="1:28" ht="63.75" x14ac:dyDescent="0.25">
      <c r="A29" s="646" t="s">
        <v>542</v>
      </c>
      <c r="B29" s="7">
        <f>IF(  AND(ISNUMBER(C29),OR(ISNUMBER(D29),D29="PG")),IF(IF(Capa!$B$6="B",0,Capa!$B$6)&gt;=C29,1,0),"")</f>
        <v>1</v>
      </c>
      <c r="C29" s="6">
        <f t="shared" si="0"/>
        <v>0</v>
      </c>
      <c r="D29" s="647" t="s">
        <v>54</v>
      </c>
      <c r="E29" s="389" t="s">
        <v>544</v>
      </c>
      <c r="F29" s="513"/>
      <c r="G29" s="468"/>
      <c r="H29" s="241"/>
      <c r="I29" s="29"/>
      <c r="J29" s="239"/>
      <c r="K29" s="471"/>
      <c r="L29" s="697" t="str">
        <f>IF(OR(AND(NOT(ISBLANK(M29)),M29&lt;IF(Capa!$B$6&lt;&gt;"B",Capa!$B$6+1,1)),AND(NOT(ISBLANK(N29)),N29&lt;IF(Capa!$B$6&lt;&gt;"B",Capa!$B$6+1,1)),AND(NOT(ISBLANK(O29)),O29&lt;IF(Capa!$B$6&lt;&gt;"B",Capa!$B$6+1,1)),AND(NOT(ISBLANK(Q29)),Q29&lt;IF(Capa!$B$6&lt;&gt;"B",Capa!$B$6+1,1)),AND(NOT(ISBLANK(R29)),R29&lt;IF(Capa!$B$6&lt;&gt;"B",Capa!$B$6+1,1)),AND(NOT(ISBLANK(S29)),S29&lt;IF(Capa!$B$6&lt;&gt;"B",Capa!$B$6+1,1))),1,"")</f>
        <v/>
      </c>
      <c r="M29" s="81"/>
      <c r="N29" s="81"/>
      <c r="O29" s="81"/>
      <c r="P29" s="81"/>
      <c r="Q29" s="81"/>
      <c r="R29" s="81"/>
      <c r="S29" s="81"/>
      <c r="T29" s="81"/>
      <c r="U29" s="58"/>
      <c r="V29" s="464"/>
      <c r="W29" s="476"/>
      <c r="X29" s="666"/>
      <c r="Y29" s="522"/>
      <c r="Z29" s="522"/>
      <c r="AA29" s="522"/>
      <c r="AB29" s="522"/>
    </row>
    <row r="30" spans="1:28" ht="45" x14ac:dyDescent="0.25">
      <c r="A30" s="646" t="s">
        <v>542</v>
      </c>
      <c r="B30" s="7">
        <f>IF(  AND(ISNUMBER(C30),OR(ISNUMBER(D30),D30="PG")),IF(IF(Capa!$B$6="B",0,Capa!$B$6)&gt;=C30,1,0),"")</f>
        <v>1</v>
      </c>
      <c r="C30" s="6">
        <f t="shared" si="0"/>
        <v>0</v>
      </c>
      <c r="D30" s="647">
        <v>338</v>
      </c>
      <c r="E30" s="352" t="s">
        <v>545</v>
      </c>
      <c r="F30" s="513"/>
      <c r="G30" s="468"/>
      <c r="H30" s="241"/>
      <c r="I30" s="29"/>
      <c r="J30" s="425">
        <f t="shared" ref="J30:J42" si="3">LEN(K30)</f>
        <v>0</v>
      </c>
      <c r="K30" s="471"/>
      <c r="L30" s="697" t="str">
        <f t="shared" ref="L30:L42" si="4">IF(OR(I30="N",I30="P"),1,"")</f>
        <v/>
      </c>
      <c r="M30" s="719"/>
      <c r="N30" s="720"/>
      <c r="O30" s="720"/>
      <c r="P30" s="720"/>
      <c r="Q30" s="720"/>
      <c r="R30" s="720"/>
      <c r="S30" s="720"/>
      <c r="T30" s="721"/>
      <c r="U30" s="71"/>
      <c r="V30" s="464"/>
      <c r="W30" s="476"/>
      <c r="X30" s="522"/>
      <c r="Y30" s="522"/>
      <c r="Z30" s="522"/>
      <c r="AA30" s="522"/>
      <c r="AB30" s="522"/>
    </row>
    <row r="31" spans="1:28" ht="30" x14ac:dyDescent="0.25">
      <c r="A31" s="646" t="s">
        <v>542</v>
      </c>
      <c r="B31" s="7">
        <f>IF(  AND(ISNUMBER(C31),OR(ISNUMBER(D31),D31="PG")),IF(IF(Capa!$B$6="B",0,Capa!$B$6)&gt;=C31,1,0),"")</f>
        <v>1</v>
      </c>
      <c r="C31" s="6">
        <f t="shared" si="0"/>
        <v>0</v>
      </c>
      <c r="D31" s="647">
        <v>339</v>
      </c>
      <c r="E31" s="352" t="s">
        <v>546</v>
      </c>
      <c r="F31" s="513"/>
      <c r="G31" s="468"/>
      <c r="H31" s="241"/>
      <c r="I31" s="29"/>
      <c r="J31" s="425">
        <f t="shared" si="3"/>
        <v>0</v>
      </c>
      <c r="K31" s="471"/>
      <c r="L31" s="697" t="str">
        <f t="shared" si="4"/>
        <v/>
      </c>
      <c r="M31" s="719"/>
      <c r="N31" s="720"/>
      <c r="O31" s="720"/>
      <c r="P31" s="720"/>
      <c r="Q31" s="720"/>
      <c r="R31" s="720"/>
      <c r="S31" s="720"/>
      <c r="T31" s="721"/>
      <c r="U31" s="71"/>
      <c r="V31" s="464"/>
      <c r="W31" s="476"/>
      <c r="X31" s="522"/>
      <c r="Y31" s="522"/>
      <c r="Z31" s="522"/>
      <c r="AA31" s="522"/>
      <c r="AB31" s="522"/>
    </row>
    <row r="32" spans="1:28" ht="30" x14ac:dyDescent="0.25">
      <c r="A32" s="646" t="s">
        <v>542</v>
      </c>
      <c r="B32" s="7">
        <f>IF(  AND(ISNUMBER(C32),OR(ISNUMBER(D32),D32="PG")),IF(IF(Capa!$B$6="B",0,Capa!$B$6)&gt;=C32,1,0),"")</f>
        <v>1</v>
      </c>
      <c r="C32" s="6">
        <f t="shared" si="0"/>
        <v>0</v>
      </c>
      <c r="D32" s="647">
        <v>340</v>
      </c>
      <c r="E32" s="352" t="s">
        <v>547</v>
      </c>
      <c r="F32" s="513"/>
      <c r="G32" s="468"/>
      <c r="H32" s="241"/>
      <c r="I32" s="29"/>
      <c r="J32" s="425">
        <f t="shared" si="3"/>
        <v>0</v>
      </c>
      <c r="K32" s="471"/>
      <c r="L32" s="697" t="str">
        <f t="shared" si="4"/>
        <v/>
      </c>
      <c r="M32" s="719"/>
      <c r="N32" s="720"/>
      <c r="O32" s="720"/>
      <c r="P32" s="720"/>
      <c r="Q32" s="720"/>
      <c r="R32" s="720"/>
      <c r="S32" s="720"/>
      <c r="T32" s="721"/>
      <c r="U32" s="71"/>
      <c r="V32" s="464"/>
      <c r="W32" s="476"/>
      <c r="X32" s="522"/>
      <c r="Y32" s="522"/>
      <c r="Z32" s="522"/>
      <c r="AA32" s="522"/>
      <c r="AB32" s="522"/>
    </row>
    <row r="33" spans="1:28" ht="7.35" customHeight="1" x14ac:dyDescent="0.25">
      <c r="A33" s="646" t="s">
        <v>542</v>
      </c>
      <c r="B33" s="7" t="str">
        <f>IF(  AND(ISNUMBER(C33),OR(ISNUMBER(D33),D33="PG")),IF(IF(Capa!$B$6="B",0,Capa!$B$6)&gt;=C33,1,0),"")</f>
        <v/>
      </c>
      <c r="C33" s="6">
        <f t="shared" si="0"/>
        <v>1</v>
      </c>
      <c r="D33" s="647" t="s">
        <v>62</v>
      </c>
      <c r="E33" s="352"/>
      <c r="F33" s="513"/>
      <c r="G33" s="468"/>
      <c r="H33" s="241"/>
      <c r="I33" s="29"/>
      <c r="J33" s="425">
        <f t="shared" si="3"/>
        <v>0</v>
      </c>
      <c r="K33" s="471"/>
      <c r="L33" s="697" t="str">
        <f t="shared" si="4"/>
        <v/>
      </c>
      <c r="M33" s="719"/>
      <c r="N33" s="720"/>
      <c r="O33" s="720"/>
      <c r="P33" s="720"/>
      <c r="Q33" s="720"/>
      <c r="R33" s="720"/>
      <c r="S33" s="720"/>
      <c r="T33" s="721"/>
      <c r="U33" s="71"/>
      <c r="V33" s="464"/>
      <c r="W33" s="476"/>
      <c r="X33" s="522"/>
      <c r="Y33" s="522"/>
      <c r="Z33" s="522"/>
      <c r="AA33" s="522"/>
      <c r="AB33" s="522"/>
    </row>
    <row r="34" spans="1:28" ht="45" x14ac:dyDescent="0.25">
      <c r="A34" s="646" t="s">
        <v>542</v>
      </c>
      <c r="B34" s="7">
        <f>IF(  AND(ISNUMBER(C34),OR(ISNUMBER(D34),D34="PG")),IF(IF(Capa!$B$6="B",0,Capa!$B$6)&gt;=C34,1,0),"")</f>
        <v>0</v>
      </c>
      <c r="C34" s="6">
        <f t="shared" si="0"/>
        <v>1</v>
      </c>
      <c r="D34" s="647">
        <v>341</v>
      </c>
      <c r="E34" s="352" t="s">
        <v>548</v>
      </c>
      <c r="F34" s="513"/>
      <c r="G34" s="468"/>
      <c r="H34" s="241"/>
      <c r="I34" s="29"/>
      <c r="J34" s="425">
        <f t="shared" si="3"/>
        <v>0</v>
      </c>
      <c r="K34" s="471"/>
      <c r="L34" s="697" t="str">
        <f t="shared" si="4"/>
        <v/>
      </c>
      <c r="M34" s="719"/>
      <c r="N34" s="720"/>
      <c r="O34" s="720"/>
      <c r="P34" s="720"/>
      <c r="Q34" s="720"/>
      <c r="R34" s="720"/>
      <c r="S34" s="720"/>
      <c r="T34" s="721"/>
      <c r="U34" s="71"/>
      <c r="V34" s="464"/>
      <c r="W34" s="476"/>
      <c r="X34" s="522"/>
      <c r="Y34" s="522"/>
      <c r="Z34" s="522"/>
      <c r="AA34" s="522"/>
      <c r="AB34" s="522"/>
    </row>
    <row r="35" spans="1:28" ht="6" customHeight="1" x14ac:dyDescent="0.25">
      <c r="A35" s="646" t="s">
        <v>542</v>
      </c>
      <c r="B35" s="7" t="str">
        <f>IF(  AND(ISNUMBER(C35),OR(ISNUMBER(D35),D35="PG")),IF(IF(Capa!$B$6="B",0,Capa!$B$6)&gt;=C35,1,0),"")</f>
        <v/>
      </c>
      <c r="C35" s="6">
        <f t="shared" si="0"/>
        <v>2</v>
      </c>
      <c r="D35" s="647" t="s">
        <v>64</v>
      </c>
      <c r="E35" s="352"/>
      <c r="F35" s="513"/>
      <c r="G35" s="468"/>
      <c r="H35" s="241"/>
      <c r="I35" s="29"/>
      <c r="J35" s="425">
        <f t="shared" si="3"/>
        <v>0</v>
      </c>
      <c r="K35" s="471"/>
      <c r="L35" s="697" t="str">
        <f t="shared" si="4"/>
        <v/>
      </c>
      <c r="M35" s="719"/>
      <c r="N35" s="720"/>
      <c r="O35" s="720"/>
      <c r="P35" s="720"/>
      <c r="Q35" s="720"/>
      <c r="R35" s="720"/>
      <c r="S35" s="720"/>
      <c r="T35" s="721"/>
      <c r="U35" s="71"/>
      <c r="V35" s="464"/>
      <c r="W35" s="476"/>
      <c r="X35" s="522"/>
      <c r="Y35" s="522"/>
      <c r="Z35" s="522"/>
      <c r="AA35" s="522"/>
      <c r="AB35" s="522"/>
    </row>
    <row r="36" spans="1:28" ht="45" x14ac:dyDescent="0.25">
      <c r="A36" s="646" t="s">
        <v>542</v>
      </c>
      <c r="B36" s="7">
        <f>IF(  AND(ISNUMBER(C36),OR(ISNUMBER(D36),D36="PG")),IF(IF(Capa!$B$6="B",0,Capa!$B$6)&gt;=C36,1,0),"")</f>
        <v>0</v>
      </c>
      <c r="C36" s="6">
        <f t="shared" si="0"/>
        <v>2</v>
      </c>
      <c r="D36" s="647">
        <v>342</v>
      </c>
      <c r="E36" s="352" t="s">
        <v>549</v>
      </c>
      <c r="F36" s="513"/>
      <c r="G36" s="468"/>
      <c r="H36" s="241"/>
      <c r="I36" s="29"/>
      <c r="J36" s="425">
        <f t="shared" si="3"/>
        <v>0</v>
      </c>
      <c r="K36" s="471"/>
      <c r="L36" s="697" t="str">
        <f t="shared" si="4"/>
        <v/>
      </c>
      <c r="M36" s="719"/>
      <c r="N36" s="720"/>
      <c r="O36" s="720"/>
      <c r="P36" s="720"/>
      <c r="Q36" s="720"/>
      <c r="R36" s="720"/>
      <c r="S36" s="720"/>
      <c r="T36" s="721"/>
      <c r="U36" s="71"/>
      <c r="V36" s="464"/>
      <c r="W36" s="476"/>
      <c r="X36" s="522"/>
      <c r="Y36" s="522"/>
      <c r="Z36" s="522"/>
      <c r="AA36" s="522"/>
      <c r="AB36" s="522"/>
    </row>
    <row r="37" spans="1:28" ht="45" x14ac:dyDescent="0.25">
      <c r="A37" s="646" t="s">
        <v>542</v>
      </c>
      <c r="B37" s="7">
        <f>IF(  AND(ISNUMBER(C37),OR(ISNUMBER(D37),D37="PG")),IF(IF(Capa!$B$6="B",0,Capa!$B$6)&gt;=C37,1,0),"")</f>
        <v>0</v>
      </c>
      <c r="C37" s="6">
        <f t="shared" si="0"/>
        <v>2</v>
      </c>
      <c r="D37" s="647">
        <v>343</v>
      </c>
      <c r="E37" s="352" t="s">
        <v>550</v>
      </c>
      <c r="F37" s="513"/>
      <c r="G37" s="468"/>
      <c r="H37" s="241"/>
      <c r="I37" s="29"/>
      <c r="J37" s="425">
        <f t="shared" si="3"/>
        <v>0</v>
      </c>
      <c r="K37" s="471"/>
      <c r="L37" s="697" t="str">
        <f t="shared" si="4"/>
        <v/>
      </c>
      <c r="M37" s="719"/>
      <c r="N37" s="720"/>
      <c r="O37" s="720"/>
      <c r="P37" s="720"/>
      <c r="Q37" s="720"/>
      <c r="R37" s="720"/>
      <c r="S37" s="720"/>
      <c r="T37" s="721"/>
      <c r="U37" s="71"/>
      <c r="V37" s="464"/>
      <c r="W37" s="476"/>
      <c r="X37" s="522"/>
      <c r="Y37" s="522"/>
      <c r="Z37" s="522"/>
      <c r="AA37" s="522"/>
      <c r="AB37" s="522"/>
    </row>
    <row r="38" spans="1:28" ht="45" x14ac:dyDescent="0.25">
      <c r="A38" s="646" t="s">
        <v>542</v>
      </c>
      <c r="B38" s="7">
        <f>IF(  AND(ISNUMBER(C38),OR(ISNUMBER(D38),D38="PG")),IF(IF(Capa!$B$6="B",0,Capa!$B$6)&gt;=C38,1,0),"")</f>
        <v>0</v>
      </c>
      <c r="C38" s="6">
        <f t="shared" si="0"/>
        <v>2</v>
      </c>
      <c r="D38" s="647">
        <v>344</v>
      </c>
      <c r="E38" s="352" t="s">
        <v>551</v>
      </c>
      <c r="F38" s="513"/>
      <c r="G38" s="468"/>
      <c r="H38" s="241"/>
      <c r="I38" s="29"/>
      <c r="J38" s="425">
        <f t="shared" si="3"/>
        <v>0</v>
      </c>
      <c r="K38" s="471"/>
      <c r="L38" s="697" t="str">
        <f t="shared" si="4"/>
        <v/>
      </c>
      <c r="M38" s="719"/>
      <c r="N38" s="720"/>
      <c r="O38" s="720"/>
      <c r="P38" s="720"/>
      <c r="Q38" s="720"/>
      <c r="R38" s="720"/>
      <c r="S38" s="720"/>
      <c r="T38" s="721"/>
      <c r="U38" s="71"/>
      <c r="V38" s="464"/>
      <c r="W38" s="476"/>
      <c r="X38" s="522"/>
      <c r="Y38" s="522"/>
      <c r="Z38" s="522"/>
      <c r="AA38" s="522"/>
      <c r="AB38" s="522"/>
    </row>
    <row r="39" spans="1:28" ht="6" customHeight="1" x14ac:dyDescent="0.25">
      <c r="A39" s="646" t="s">
        <v>542</v>
      </c>
      <c r="B39" s="7" t="str">
        <f>IF(  AND(ISNUMBER(C39),OR(ISNUMBER(D39),D39="PG")),IF(IF(Capa!$B$6="B",0,Capa!$B$6)&gt;=C39,1,0),"")</f>
        <v/>
      </c>
      <c r="C39" s="6">
        <f t="shared" si="0"/>
        <v>3</v>
      </c>
      <c r="D39" s="647" t="s">
        <v>70</v>
      </c>
      <c r="E39" s="352"/>
      <c r="F39" s="513"/>
      <c r="G39" s="468"/>
      <c r="H39" s="241"/>
      <c r="I39" s="29"/>
      <c r="J39" s="425">
        <f t="shared" si="3"/>
        <v>0</v>
      </c>
      <c r="K39" s="471"/>
      <c r="L39" s="697" t="str">
        <f t="shared" si="4"/>
        <v/>
      </c>
      <c r="M39" s="719"/>
      <c r="N39" s="720"/>
      <c r="O39" s="720"/>
      <c r="P39" s="720"/>
      <c r="Q39" s="720"/>
      <c r="R39" s="720"/>
      <c r="S39" s="720"/>
      <c r="T39" s="721"/>
      <c r="U39" s="71"/>
      <c r="V39" s="464"/>
      <c r="W39" s="476"/>
      <c r="X39" s="522"/>
      <c r="Y39" s="522"/>
      <c r="Z39" s="522"/>
      <c r="AA39" s="522"/>
      <c r="AB39" s="522"/>
    </row>
    <row r="40" spans="1:28" ht="45" x14ac:dyDescent="0.25">
      <c r="A40" s="646" t="s">
        <v>542</v>
      </c>
      <c r="B40" s="7">
        <f>IF(  AND(ISNUMBER(C40),OR(ISNUMBER(D40),D40="PG")),IF(IF(Capa!$B$6="B",0,Capa!$B$6)&gt;=C40,1,0),"")</f>
        <v>0</v>
      </c>
      <c r="C40" s="6">
        <f t="shared" si="0"/>
        <v>3</v>
      </c>
      <c r="D40" s="647">
        <v>345</v>
      </c>
      <c r="E40" s="352" t="s">
        <v>552</v>
      </c>
      <c r="F40" s="513"/>
      <c r="G40" s="468"/>
      <c r="H40" s="241"/>
      <c r="I40" s="29"/>
      <c r="J40" s="425">
        <f t="shared" si="3"/>
        <v>0</v>
      </c>
      <c r="K40" s="471"/>
      <c r="L40" s="697" t="str">
        <f t="shared" si="4"/>
        <v/>
      </c>
      <c r="M40" s="719"/>
      <c r="N40" s="720"/>
      <c r="O40" s="720"/>
      <c r="P40" s="720"/>
      <c r="Q40" s="720"/>
      <c r="R40" s="720"/>
      <c r="S40" s="720"/>
      <c r="T40" s="721"/>
      <c r="U40" s="71"/>
      <c r="V40" s="464"/>
      <c r="W40" s="476"/>
      <c r="X40" s="522"/>
      <c r="Y40" s="522"/>
      <c r="Z40" s="522"/>
      <c r="AA40" s="522"/>
      <c r="AB40" s="522"/>
    </row>
    <row r="41" spans="1:28" ht="60" x14ac:dyDescent="0.25">
      <c r="A41" s="646" t="s">
        <v>542</v>
      </c>
      <c r="B41" s="7">
        <f>IF(  AND(ISNUMBER(C41),OR(ISNUMBER(D41),D41="PG")),IF(IF(Capa!$B$6="B",0,Capa!$B$6)&gt;=C41,1,0),"")</f>
        <v>0</v>
      </c>
      <c r="C41" s="6">
        <f t="shared" si="0"/>
        <v>3</v>
      </c>
      <c r="D41" s="647">
        <v>346</v>
      </c>
      <c r="E41" s="352" t="s">
        <v>553</v>
      </c>
      <c r="F41" s="513"/>
      <c r="G41" s="468"/>
      <c r="H41" s="241"/>
      <c r="I41" s="29"/>
      <c r="J41" s="425">
        <f t="shared" si="3"/>
        <v>0</v>
      </c>
      <c r="K41" s="471"/>
      <c r="L41" s="697" t="str">
        <f t="shared" si="4"/>
        <v/>
      </c>
      <c r="M41" s="719"/>
      <c r="N41" s="720"/>
      <c r="O41" s="720"/>
      <c r="P41" s="720"/>
      <c r="Q41" s="720"/>
      <c r="R41" s="720"/>
      <c r="S41" s="720"/>
      <c r="T41" s="721"/>
      <c r="U41" s="71"/>
      <c r="V41" s="464"/>
      <c r="W41" s="476"/>
      <c r="X41" s="522"/>
      <c r="Y41" s="522"/>
      <c r="Z41" s="522"/>
      <c r="AA41" s="522"/>
      <c r="AB41" s="522"/>
    </row>
    <row r="42" spans="1:28" ht="30" x14ac:dyDescent="0.25">
      <c r="A42" s="646" t="s">
        <v>542</v>
      </c>
      <c r="B42" s="7">
        <f>IF(  AND(ISNUMBER(C42),OR(ISNUMBER(D42),D42="PG")),IF(IF(Capa!$B$6="B",0,Capa!$B$6)&gt;=C42,1,0),"")</f>
        <v>0</v>
      </c>
      <c r="C42" s="6">
        <f t="shared" si="0"/>
        <v>3</v>
      </c>
      <c r="D42" s="647">
        <v>347</v>
      </c>
      <c r="E42" s="411" t="s">
        <v>554</v>
      </c>
      <c r="F42" s="513"/>
      <c r="G42" s="468"/>
      <c r="H42" s="241"/>
      <c r="I42" s="29"/>
      <c r="J42" s="425">
        <f t="shared" si="3"/>
        <v>0</v>
      </c>
      <c r="K42" s="471"/>
      <c r="L42" s="697" t="str">
        <f t="shared" si="4"/>
        <v/>
      </c>
      <c r="M42" s="719"/>
      <c r="N42" s="720"/>
      <c r="O42" s="720"/>
      <c r="P42" s="720"/>
      <c r="Q42" s="720"/>
      <c r="R42" s="720"/>
      <c r="S42" s="720"/>
      <c r="T42" s="721"/>
      <c r="U42" s="71"/>
      <c r="V42" s="464"/>
      <c r="W42" s="476"/>
      <c r="X42" s="522"/>
      <c r="Y42" s="522"/>
      <c r="Z42" s="522"/>
      <c r="AA42" s="522"/>
      <c r="AB42" s="522"/>
    </row>
    <row r="43" spans="1:28" ht="8.1" customHeight="1" x14ac:dyDescent="0.25">
      <c r="B43" s="7" t="str">
        <f>IF(  AND(ISNUMBER(C43),OR(ISNUMBER(D43),D43="PG")),IF(IF(Capa!$B$6="B",0,Capa!$B$6)&gt;=C43,1,0),"")</f>
        <v/>
      </c>
      <c r="C43" s="6" t="str">
        <f t="shared" si="0"/>
        <v/>
      </c>
      <c r="D43" s="122"/>
      <c r="E43" s="291"/>
      <c r="F43" s="123"/>
      <c r="G43" s="227"/>
      <c r="H43" s="227"/>
      <c r="I43" s="123"/>
      <c r="J43" s="227"/>
      <c r="K43" s="694"/>
      <c r="L43" s="219"/>
      <c r="M43" s="124"/>
      <c r="N43" s="124"/>
      <c r="O43" s="124"/>
      <c r="P43" s="124"/>
      <c r="Q43" s="124"/>
      <c r="R43" s="124"/>
      <c r="S43" s="251"/>
      <c r="T43" s="251"/>
      <c r="U43" s="260"/>
      <c r="V43" s="547"/>
      <c r="W43" s="125"/>
      <c r="X43" s="522"/>
      <c r="Y43" s="522"/>
      <c r="Z43" s="522"/>
      <c r="AA43" s="522"/>
      <c r="AB43" s="522"/>
    </row>
    <row r="44" spans="1:28" x14ac:dyDescent="0.25">
      <c r="A44" s="210" t="s">
        <v>555</v>
      </c>
      <c r="B44" s="7" t="str">
        <f>IF(  AND(ISNUMBER(C44),OR(ISNUMBER(D44),D44="PG")),IF(IF(Capa!$B$6="B",0,Capa!$B$6)&gt;=C44,1,0),"")</f>
        <v/>
      </c>
      <c r="C44" s="6" t="str">
        <f t="shared" si="0"/>
        <v/>
      </c>
      <c r="D44" s="15"/>
      <c r="E44" s="395" t="s">
        <v>556</v>
      </c>
      <c r="F44" s="23"/>
      <c r="G44" s="470"/>
      <c r="H44" s="219"/>
      <c r="I44" s="23"/>
      <c r="J44" s="219"/>
      <c r="K44" s="504"/>
      <c r="L44" s="383">
        <f>IF(AND($B46=1,D46="PG"),IF(COUNTIFS($A$1:$A$230,"="&amp;$A44,$B$1:$B$230,"&gt;0",$D$1:$D$230,"&gt;0")&gt;0,
        (COUNTIFS($A$1:$A$230,"="&amp;$A44,$B$1:$B$230,"&gt;0",$D$1:$D$230,"&gt;0",F$1:F$230,"=S",I$1:I$230,"") +
         (COUNTIFS($A$1:$A$230,"="&amp;$A44,$B$1:$B$230,"&gt;0",$D$1:$D$230,"&gt;0",$F$1:$F$230,"=P",I$1:I$230,"")/2) +
         COUNTIFS($A$1:$A$230,"="&amp;$A44,$B$1:$B$230,"&gt;0",$D$1:$D$230,"&gt;0",I$1:I$230,"=S") +
         (COUNTIFS($A$1:$A$230,"="&amp;$A44,$B$1:$B$230,"&gt;0",$D$1:$D$230,"&gt;0",I$1:I$230,"=P")/2)
         )/COUNTIFS($A$1:$A$230,"="&amp;$A44,$B$1:$B$230,"&gt;0",$D$1:$D$230,"&gt;0"),1),"")</f>
        <v>0</v>
      </c>
      <c r="M44" s="380"/>
      <c r="N44" s="70"/>
      <c r="O44" s="68"/>
      <c r="P44" s="68"/>
      <c r="Q44" s="83">
        <f>IF(L44="","",MIN(IF(ISBLANK(Q46),0,Q46),IF(L44&gt;0.9,4,IF(L44&gt;0.5,3,IF(L44&gt;0.3,2,IF(OR(L44&gt;0,Q46&gt;0),1,0))))))</f>
        <v>0</v>
      </c>
      <c r="R44" s="70"/>
      <c r="S44" s="260"/>
      <c r="T44" s="260"/>
      <c r="U44" s="260"/>
      <c r="V44" s="545"/>
      <c r="W44" s="66"/>
      <c r="X44" s="579"/>
      <c r="Y44" s="579"/>
      <c r="Z44" s="579"/>
      <c r="AA44" s="579"/>
      <c r="AB44" s="579"/>
    </row>
    <row r="45" spans="1:28" ht="5.45" customHeight="1" x14ac:dyDescent="0.25">
      <c r="A45" s="210" t="s">
        <v>555</v>
      </c>
      <c r="B45" s="7" t="str">
        <f>IF(  AND(ISNUMBER(C45),OR(ISNUMBER(D45),D45="PG")),IF(IF(Capa!$B$6="B",0,Capa!$B$6)&gt;=C45,1,0),"")</f>
        <v/>
      </c>
      <c r="C45" s="6">
        <f t="shared" si="0"/>
        <v>0</v>
      </c>
      <c r="D45" s="5" t="s">
        <v>53</v>
      </c>
      <c r="E45" s="391"/>
      <c r="F45" s="26"/>
      <c r="G45" s="567"/>
      <c r="H45" s="239"/>
      <c r="I45" s="26"/>
      <c r="J45" s="239"/>
      <c r="K45" s="695"/>
      <c r="L45" s="242"/>
      <c r="M45" s="59"/>
      <c r="N45" s="59"/>
      <c r="O45" s="59"/>
      <c r="P45" s="59"/>
      <c r="Q45" s="59"/>
      <c r="R45" s="59"/>
      <c r="S45" s="262"/>
      <c r="T45" s="262"/>
      <c r="U45" s="355"/>
      <c r="V45" s="465"/>
      <c r="W45" s="478"/>
      <c r="X45" s="522"/>
      <c r="Y45" s="522"/>
      <c r="Z45" s="522"/>
      <c r="AA45" s="522"/>
      <c r="AB45" s="522"/>
    </row>
    <row r="46" spans="1:28" ht="63.75" x14ac:dyDescent="0.25">
      <c r="A46" s="646" t="s">
        <v>555</v>
      </c>
      <c r="B46" s="7">
        <f>IF(  AND(ISNUMBER(C46),OR(ISNUMBER(D46),D46="PG")),IF(IF(Capa!$B$6="B",0,Capa!$B$6)&gt;=C46,1,0),"")</f>
        <v>1</v>
      </c>
      <c r="C46" s="6">
        <f t="shared" si="0"/>
        <v>0</v>
      </c>
      <c r="D46" s="647" t="s">
        <v>54</v>
      </c>
      <c r="E46" s="389" t="s">
        <v>557</v>
      </c>
      <c r="F46" s="513"/>
      <c r="G46" s="468"/>
      <c r="H46" s="241"/>
      <c r="I46" s="29"/>
      <c r="J46" s="239"/>
      <c r="K46" s="471"/>
      <c r="L46" s="697" t="str">
        <f>IF(OR(AND(NOT(ISBLANK(M46)),M46&lt;IF(Capa!$B$6&lt;&gt;"B",Capa!$B$6+1,1)),AND(NOT(ISBLANK(N46)),N46&lt;IF(Capa!$B$6&lt;&gt;"B",Capa!$B$6+1,1)),AND(NOT(ISBLANK(O46)),O46&lt;IF(Capa!$B$6&lt;&gt;"B",Capa!$B$6+1,1)),AND(NOT(ISBLANK(Q46)),Q46&lt;IF(Capa!$B$6&lt;&gt;"B",Capa!$B$6+1,1)),AND(NOT(ISBLANK(R46)),R46&lt;IF(Capa!$B$6&lt;&gt;"B",Capa!$B$6+1,1)),AND(NOT(ISBLANK(S46)),S46&lt;IF(Capa!$B$6&lt;&gt;"B",Capa!$B$6+1,1))),1,"")</f>
        <v/>
      </c>
      <c r="M46" s="81"/>
      <c r="N46" s="81"/>
      <c r="O46" s="81"/>
      <c r="P46" s="81"/>
      <c r="Q46" s="81"/>
      <c r="R46" s="81"/>
      <c r="S46" s="81"/>
      <c r="T46" s="81"/>
      <c r="U46" s="58"/>
      <c r="V46" s="464"/>
      <c r="W46" s="476"/>
      <c r="X46" s="666"/>
      <c r="Y46" s="522"/>
      <c r="Z46" s="522"/>
      <c r="AA46" s="522"/>
      <c r="AB46" s="522"/>
    </row>
    <row r="47" spans="1:28" ht="46.35" customHeight="1" x14ac:dyDescent="0.25">
      <c r="A47" s="646" t="s">
        <v>555</v>
      </c>
      <c r="B47" s="7">
        <f>IF(  AND(ISNUMBER(C47),OR(ISNUMBER(D47),D47="PG")),IF(IF(Capa!$B$6="B",0,Capa!$B$6)&gt;=C47,1,0),"")</f>
        <v>1</v>
      </c>
      <c r="C47" s="6">
        <f t="shared" si="0"/>
        <v>0</v>
      </c>
      <c r="D47" s="647">
        <v>348</v>
      </c>
      <c r="E47" s="352" t="s">
        <v>558</v>
      </c>
      <c r="F47" s="513"/>
      <c r="G47" s="468"/>
      <c r="H47" s="241"/>
      <c r="I47" s="29"/>
      <c r="J47" s="425">
        <f t="shared" ref="J47:J62" si="5">LEN(K47)</f>
        <v>0</v>
      </c>
      <c r="K47" s="471"/>
      <c r="L47" s="697" t="str">
        <f t="shared" ref="L47:L62" si="6">IF(OR(I47="N",I47="P"),1,"")</f>
        <v/>
      </c>
      <c r="M47" s="719"/>
      <c r="N47" s="720"/>
      <c r="O47" s="720"/>
      <c r="P47" s="720"/>
      <c r="Q47" s="720"/>
      <c r="R47" s="720"/>
      <c r="S47" s="720"/>
      <c r="T47" s="721"/>
      <c r="U47" s="71"/>
      <c r="V47" s="464"/>
      <c r="W47" s="476"/>
      <c r="X47" s="522"/>
      <c r="Y47" s="522"/>
      <c r="Z47" s="522"/>
      <c r="AA47" s="522"/>
      <c r="AB47" s="522"/>
    </row>
    <row r="48" spans="1:28" ht="30" x14ac:dyDescent="0.25">
      <c r="A48" s="646" t="s">
        <v>555</v>
      </c>
      <c r="B48" s="7">
        <f>IF(  AND(ISNUMBER(C48),OR(ISNUMBER(D48),D48="PG")),IF(IF(Capa!$B$6="B",0,Capa!$B$6)&gt;=C48,1,0),"")</f>
        <v>1</v>
      </c>
      <c r="C48" s="6">
        <f t="shared" si="0"/>
        <v>0</v>
      </c>
      <c r="D48" s="647">
        <v>349</v>
      </c>
      <c r="E48" s="352" t="s">
        <v>559</v>
      </c>
      <c r="F48" s="513"/>
      <c r="G48" s="468"/>
      <c r="H48" s="241"/>
      <c r="I48" s="29"/>
      <c r="J48" s="425">
        <f t="shared" si="5"/>
        <v>0</v>
      </c>
      <c r="K48" s="471"/>
      <c r="L48" s="697" t="str">
        <f t="shared" si="6"/>
        <v/>
      </c>
      <c r="M48" s="719"/>
      <c r="N48" s="720"/>
      <c r="O48" s="720"/>
      <c r="P48" s="720"/>
      <c r="Q48" s="720"/>
      <c r="R48" s="720"/>
      <c r="S48" s="720"/>
      <c r="T48" s="721"/>
      <c r="U48" s="71"/>
      <c r="V48" s="464"/>
      <c r="W48" s="476"/>
      <c r="X48" s="522"/>
      <c r="Y48" s="522"/>
      <c r="Z48" s="522"/>
      <c r="AA48" s="522"/>
      <c r="AB48" s="522"/>
    </row>
    <row r="49" spans="1:28" ht="7.7" customHeight="1" x14ac:dyDescent="0.25">
      <c r="A49" s="646" t="s">
        <v>555</v>
      </c>
      <c r="B49" s="7" t="str">
        <f>IF(  AND(ISNUMBER(C49),OR(ISNUMBER(D49),D49="PG")),IF(IF(Capa!$B$6="B",0,Capa!$B$6)&gt;=C49,1,0),"")</f>
        <v/>
      </c>
      <c r="C49" s="6">
        <f t="shared" si="0"/>
        <v>1</v>
      </c>
      <c r="D49" s="647" t="s">
        <v>62</v>
      </c>
      <c r="E49" s="352"/>
      <c r="F49" s="513"/>
      <c r="G49" s="468"/>
      <c r="H49" s="241"/>
      <c r="I49" s="29"/>
      <c r="J49" s="425">
        <f t="shared" si="5"/>
        <v>0</v>
      </c>
      <c r="K49" s="471"/>
      <c r="L49" s="697" t="str">
        <f t="shared" si="6"/>
        <v/>
      </c>
      <c r="M49" s="719"/>
      <c r="N49" s="720"/>
      <c r="O49" s="720"/>
      <c r="P49" s="720"/>
      <c r="Q49" s="720"/>
      <c r="R49" s="720"/>
      <c r="S49" s="720"/>
      <c r="T49" s="721"/>
      <c r="U49" s="71"/>
      <c r="V49" s="464"/>
      <c r="W49" s="476"/>
      <c r="X49" s="522"/>
      <c r="Y49" s="522"/>
      <c r="Z49" s="522"/>
      <c r="AA49" s="522"/>
      <c r="AB49" s="522"/>
    </row>
    <row r="50" spans="1:28" ht="89.45" customHeight="1" x14ac:dyDescent="0.25">
      <c r="A50" s="646" t="s">
        <v>555</v>
      </c>
      <c r="B50" s="7">
        <f>IF(  AND(ISNUMBER(C50),OR(ISNUMBER(D50),D50="PG")),IF(IF(Capa!$B$6="B",0,Capa!$B$6)&gt;=C50,1,0),"")</f>
        <v>0</v>
      </c>
      <c r="C50" s="6">
        <f t="shared" si="0"/>
        <v>1</v>
      </c>
      <c r="D50" s="647">
        <v>350</v>
      </c>
      <c r="E50" s="352" t="s">
        <v>560</v>
      </c>
      <c r="F50" s="513"/>
      <c r="G50" s="468"/>
      <c r="H50" s="241"/>
      <c r="I50" s="29"/>
      <c r="J50" s="425">
        <f t="shared" si="5"/>
        <v>0</v>
      </c>
      <c r="K50" s="471"/>
      <c r="L50" s="697" t="str">
        <f t="shared" si="6"/>
        <v/>
      </c>
      <c r="M50" s="719"/>
      <c r="N50" s="720"/>
      <c r="O50" s="720"/>
      <c r="P50" s="720"/>
      <c r="Q50" s="720"/>
      <c r="R50" s="720"/>
      <c r="S50" s="720"/>
      <c r="T50" s="721"/>
      <c r="U50" s="71"/>
      <c r="V50" s="464"/>
      <c r="W50" s="476"/>
      <c r="X50" s="522"/>
      <c r="Y50" s="522"/>
      <c r="Z50" s="522"/>
      <c r="AA50" s="522"/>
      <c r="AB50" s="522"/>
    </row>
    <row r="51" spans="1:28" ht="75" x14ac:dyDescent="0.25">
      <c r="A51" s="646" t="s">
        <v>555</v>
      </c>
      <c r="B51" s="7">
        <f>IF(  AND(ISNUMBER(C51),OR(ISNUMBER(D51),D51="PG")),IF(IF(Capa!$B$6="B",0,Capa!$B$6)&gt;=C51,1,0),"")</f>
        <v>0</v>
      </c>
      <c r="C51" s="6">
        <f t="shared" si="0"/>
        <v>1</v>
      </c>
      <c r="D51" s="647">
        <v>351</v>
      </c>
      <c r="E51" s="352" t="s">
        <v>561</v>
      </c>
      <c r="F51" s="513"/>
      <c r="G51" s="468"/>
      <c r="H51" s="241"/>
      <c r="I51" s="29"/>
      <c r="J51" s="425">
        <f t="shared" si="5"/>
        <v>0</v>
      </c>
      <c r="K51" s="471"/>
      <c r="L51" s="697" t="str">
        <f t="shared" si="6"/>
        <v/>
      </c>
      <c r="M51" s="719"/>
      <c r="N51" s="720"/>
      <c r="O51" s="720"/>
      <c r="P51" s="720"/>
      <c r="Q51" s="720"/>
      <c r="R51" s="720"/>
      <c r="S51" s="720"/>
      <c r="T51" s="721"/>
      <c r="U51" s="71"/>
      <c r="V51" s="464"/>
      <c r="W51" s="476"/>
      <c r="X51" s="522"/>
      <c r="Y51" s="522"/>
      <c r="Z51" s="522"/>
      <c r="AA51" s="522"/>
      <c r="AB51" s="522"/>
    </row>
    <row r="52" spans="1:28" ht="30" x14ac:dyDescent="0.25">
      <c r="A52" s="646" t="s">
        <v>555</v>
      </c>
      <c r="B52" s="7">
        <f>IF(  AND(ISNUMBER(C52),OR(ISNUMBER(D52),D52="PG")),IF(IF(Capa!$B$6="B",0,Capa!$B$6)&gt;=C52,1,0),"")</f>
        <v>0</v>
      </c>
      <c r="C52" s="6">
        <f t="shared" si="0"/>
        <v>1</v>
      </c>
      <c r="D52" s="647">
        <v>352</v>
      </c>
      <c r="E52" s="352" t="s">
        <v>562</v>
      </c>
      <c r="F52" s="513"/>
      <c r="G52" s="468"/>
      <c r="H52" s="241"/>
      <c r="I52" s="29"/>
      <c r="J52" s="425">
        <f t="shared" si="5"/>
        <v>0</v>
      </c>
      <c r="K52" s="471"/>
      <c r="L52" s="697" t="str">
        <f t="shared" si="6"/>
        <v/>
      </c>
      <c r="M52" s="719"/>
      <c r="N52" s="720"/>
      <c r="O52" s="720"/>
      <c r="P52" s="720"/>
      <c r="Q52" s="720"/>
      <c r="R52" s="720"/>
      <c r="S52" s="720"/>
      <c r="T52" s="721"/>
      <c r="U52" s="71"/>
      <c r="V52" s="464"/>
      <c r="W52" s="476"/>
      <c r="X52" s="522"/>
      <c r="Y52" s="522"/>
      <c r="Z52" s="522"/>
      <c r="AA52" s="522"/>
      <c r="AB52" s="522"/>
    </row>
    <row r="53" spans="1:28" ht="5.45" customHeight="1" x14ac:dyDescent="0.25">
      <c r="A53" s="646" t="s">
        <v>555</v>
      </c>
      <c r="B53" s="7" t="str">
        <f>IF(  AND(ISNUMBER(C53),OR(ISNUMBER(D53),D53="PG")),IF(IF(Capa!$B$6="B",0,Capa!$B$6)&gt;=C53,1,0),"")</f>
        <v/>
      </c>
      <c r="C53" s="6">
        <f t="shared" si="0"/>
        <v>2</v>
      </c>
      <c r="D53" s="647" t="s">
        <v>64</v>
      </c>
      <c r="E53" s="352"/>
      <c r="F53" s="513"/>
      <c r="G53" s="468"/>
      <c r="H53" s="241"/>
      <c r="I53" s="29"/>
      <c r="J53" s="425">
        <f t="shared" si="5"/>
        <v>0</v>
      </c>
      <c r="K53" s="471"/>
      <c r="L53" s="697" t="str">
        <f t="shared" si="6"/>
        <v/>
      </c>
      <c r="M53" s="719"/>
      <c r="N53" s="720"/>
      <c r="O53" s="720"/>
      <c r="P53" s="720"/>
      <c r="Q53" s="720"/>
      <c r="R53" s="720"/>
      <c r="S53" s="720"/>
      <c r="T53" s="721"/>
      <c r="U53" s="71"/>
      <c r="V53" s="464"/>
      <c r="W53" s="476"/>
      <c r="X53" s="522"/>
      <c r="Y53" s="522"/>
      <c r="Z53" s="522"/>
      <c r="AA53" s="522"/>
      <c r="AB53" s="522"/>
    </row>
    <row r="54" spans="1:28" ht="60" x14ac:dyDescent="0.25">
      <c r="A54" s="646" t="s">
        <v>555</v>
      </c>
      <c r="B54" s="7">
        <f>IF(  AND(ISNUMBER(C54),OR(ISNUMBER(D54),D54="PG")),IF(IF(Capa!$B$6="B",0,Capa!$B$6)&gt;=C54,1,0),"")</f>
        <v>0</v>
      </c>
      <c r="C54" s="6">
        <f t="shared" si="0"/>
        <v>2</v>
      </c>
      <c r="D54" s="647">
        <v>353</v>
      </c>
      <c r="E54" s="352" t="s">
        <v>563</v>
      </c>
      <c r="F54" s="513"/>
      <c r="G54" s="468"/>
      <c r="H54" s="241"/>
      <c r="I54" s="29"/>
      <c r="J54" s="425">
        <f t="shared" si="5"/>
        <v>0</v>
      </c>
      <c r="K54" s="471"/>
      <c r="L54" s="697" t="str">
        <f t="shared" si="6"/>
        <v/>
      </c>
      <c r="M54" s="719"/>
      <c r="N54" s="720"/>
      <c r="O54" s="720"/>
      <c r="P54" s="720"/>
      <c r="Q54" s="720"/>
      <c r="R54" s="720"/>
      <c r="S54" s="720"/>
      <c r="T54" s="721"/>
      <c r="U54" s="71"/>
      <c r="V54" s="464"/>
      <c r="W54" s="476"/>
      <c r="X54" s="666"/>
      <c r="Y54" s="522"/>
      <c r="Z54" s="522"/>
      <c r="AA54" s="522"/>
      <c r="AB54" s="522"/>
    </row>
    <row r="55" spans="1:28" ht="60" x14ac:dyDescent="0.25">
      <c r="A55" s="646" t="s">
        <v>555</v>
      </c>
      <c r="B55" s="7">
        <f>IF(  AND(ISNUMBER(C55),OR(ISNUMBER(D55),D55="PG")),IF(IF(Capa!$B$6="B",0,Capa!$B$6)&gt;=C55,1,0),"")</f>
        <v>0</v>
      </c>
      <c r="C55" s="6">
        <f t="shared" si="0"/>
        <v>2</v>
      </c>
      <c r="D55" s="647">
        <v>354</v>
      </c>
      <c r="E55" s="352" t="s">
        <v>564</v>
      </c>
      <c r="F55" s="513"/>
      <c r="G55" s="468"/>
      <c r="H55" s="241"/>
      <c r="I55" s="29"/>
      <c r="J55" s="425">
        <f t="shared" si="5"/>
        <v>0</v>
      </c>
      <c r="K55" s="471"/>
      <c r="L55" s="697" t="str">
        <f t="shared" si="6"/>
        <v/>
      </c>
      <c r="M55" s="719"/>
      <c r="N55" s="720"/>
      <c r="O55" s="720"/>
      <c r="P55" s="720"/>
      <c r="Q55" s="720"/>
      <c r="R55" s="720"/>
      <c r="S55" s="720"/>
      <c r="T55" s="721"/>
      <c r="U55" s="71"/>
      <c r="V55" s="464"/>
      <c r="W55" s="476"/>
      <c r="X55" s="522"/>
      <c r="Y55" s="522"/>
      <c r="Z55" s="522"/>
      <c r="AA55" s="522"/>
      <c r="AB55" s="522"/>
    </row>
    <row r="56" spans="1:28" ht="60" x14ac:dyDescent="0.25">
      <c r="A56" s="646" t="s">
        <v>555</v>
      </c>
      <c r="B56" s="7">
        <f>IF(  AND(ISNUMBER(C56),OR(ISNUMBER(D56),D56="PG")),IF(IF(Capa!$B$6="B",0,Capa!$B$6)&gt;=C56,1,0),"")</f>
        <v>0</v>
      </c>
      <c r="C56" s="6">
        <f t="shared" si="0"/>
        <v>2</v>
      </c>
      <c r="D56" s="647">
        <v>355</v>
      </c>
      <c r="E56" s="352" t="s">
        <v>565</v>
      </c>
      <c r="F56" s="513"/>
      <c r="G56" s="468"/>
      <c r="H56" s="241"/>
      <c r="I56" s="29"/>
      <c r="J56" s="425">
        <f t="shared" si="5"/>
        <v>0</v>
      </c>
      <c r="K56" s="471"/>
      <c r="L56" s="697" t="str">
        <f t="shared" si="6"/>
        <v/>
      </c>
      <c r="M56" s="719"/>
      <c r="N56" s="720"/>
      <c r="O56" s="720"/>
      <c r="P56" s="720"/>
      <c r="Q56" s="720"/>
      <c r="R56" s="720"/>
      <c r="S56" s="720"/>
      <c r="T56" s="721"/>
      <c r="U56" s="71"/>
      <c r="V56" s="464"/>
      <c r="W56" s="476"/>
      <c r="X56" s="522"/>
      <c r="Y56" s="522"/>
      <c r="Z56" s="522"/>
      <c r="AA56" s="522"/>
      <c r="AB56" s="522"/>
    </row>
    <row r="57" spans="1:28" ht="60" x14ac:dyDescent="0.25">
      <c r="A57" s="646" t="s">
        <v>555</v>
      </c>
      <c r="B57" s="7">
        <f>IF(  AND(ISNUMBER(C57),OR(ISNUMBER(D57),D57="PG")),IF(IF(Capa!$B$6="B",0,Capa!$B$6)&gt;=C57,1,0),"")</f>
        <v>0</v>
      </c>
      <c r="C57" s="6">
        <f t="shared" si="0"/>
        <v>2</v>
      </c>
      <c r="D57" s="647">
        <v>356</v>
      </c>
      <c r="E57" s="352" t="s">
        <v>566</v>
      </c>
      <c r="F57" s="513"/>
      <c r="G57" s="468"/>
      <c r="H57" s="241"/>
      <c r="I57" s="29"/>
      <c r="J57" s="425">
        <f t="shared" si="5"/>
        <v>0</v>
      </c>
      <c r="K57" s="471"/>
      <c r="L57" s="697" t="str">
        <f t="shared" si="6"/>
        <v/>
      </c>
      <c r="M57" s="719"/>
      <c r="N57" s="720"/>
      <c r="O57" s="720"/>
      <c r="P57" s="720"/>
      <c r="Q57" s="720"/>
      <c r="R57" s="720"/>
      <c r="S57" s="720"/>
      <c r="T57" s="721"/>
      <c r="U57" s="71"/>
      <c r="V57" s="464"/>
      <c r="W57" s="476"/>
      <c r="X57" s="522"/>
      <c r="Y57" s="522"/>
      <c r="Z57" s="522"/>
      <c r="AA57" s="522"/>
      <c r="AB57" s="522"/>
    </row>
    <row r="58" spans="1:28" ht="7.15" customHeight="1" x14ac:dyDescent="0.25">
      <c r="A58" s="646" t="s">
        <v>555</v>
      </c>
      <c r="B58" s="7" t="str">
        <f>IF(  AND(ISNUMBER(C58),OR(ISNUMBER(D58),D58="PG")),IF(IF(Capa!$B$6="B",0,Capa!$B$6)&gt;=C58,1,0),"")</f>
        <v/>
      </c>
      <c r="C58" s="6">
        <f t="shared" si="0"/>
        <v>3</v>
      </c>
      <c r="D58" s="647" t="s">
        <v>70</v>
      </c>
      <c r="E58" s="352"/>
      <c r="F58" s="513"/>
      <c r="G58" s="468"/>
      <c r="H58" s="241"/>
      <c r="I58" s="29"/>
      <c r="J58" s="425">
        <f t="shared" si="5"/>
        <v>0</v>
      </c>
      <c r="K58" s="471"/>
      <c r="L58" s="697" t="str">
        <f t="shared" si="6"/>
        <v/>
      </c>
      <c r="M58" s="719"/>
      <c r="N58" s="720"/>
      <c r="O58" s="720"/>
      <c r="P58" s="720"/>
      <c r="Q58" s="720"/>
      <c r="R58" s="720"/>
      <c r="S58" s="720"/>
      <c r="T58" s="721"/>
      <c r="U58" s="71"/>
      <c r="V58" s="464"/>
      <c r="W58" s="476"/>
      <c r="X58" s="522"/>
      <c r="Y58" s="522"/>
      <c r="Z58" s="522"/>
      <c r="AA58" s="522"/>
      <c r="AB58" s="522"/>
    </row>
    <row r="59" spans="1:28" ht="30" x14ac:dyDescent="0.25">
      <c r="A59" s="646" t="s">
        <v>555</v>
      </c>
      <c r="B59" s="7">
        <f>IF(  AND(ISNUMBER(C59),OR(ISNUMBER(D59),D59="PG")),IF(IF(Capa!$B$6="B",0,Capa!$B$6)&gt;=C59,1,0),"")</f>
        <v>0</v>
      </c>
      <c r="C59" s="6">
        <f t="shared" si="0"/>
        <v>3</v>
      </c>
      <c r="D59" s="647">
        <v>357</v>
      </c>
      <c r="E59" s="352" t="s">
        <v>567</v>
      </c>
      <c r="F59" s="513"/>
      <c r="G59" s="468"/>
      <c r="H59" s="241"/>
      <c r="I59" s="29"/>
      <c r="J59" s="425">
        <f t="shared" si="5"/>
        <v>0</v>
      </c>
      <c r="K59" s="471"/>
      <c r="L59" s="697" t="str">
        <f t="shared" si="6"/>
        <v/>
      </c>
      <c r="M59" s="719"/>
      <c r="N59" s="720"/>
      <c r="O59" s="720"/>
      <c r="P59" s="720"/>
      <c r="Q59" s="720"/>
      <c r="R59" s="720"/>
      <c r="S59" s="720"/>
      <c r="T59" s="721"/>
      <c r="U59" s="71"/>
      <c r="V59" s="464"/>
      <c r="W59" s="476"/>
      <c r="X59" s="522"/>
      <c r="Y59" s="522"/>
      <c r="Z59" s="522"/>
      <c r="AA59" s="522"/>
      <c r="AB59" s="522"/>
    </row>
    <row r="60" spans="1:28" ht="60" x14ac:dyDescent="0.25">
      <c r="A60" s="646" t="s">
        <v>555</v>
      </c>
      <c r="B60" s="7">
        <f>IF(  AND(ISNUMBER(C60),OR(ISNUMBER(D60),D60="PG")),IF(IF(Capa!$B$6="B",0,Capa!$B$6)&gt;=C60,1,0),"")</f>
        <v>0</v>
      </c>
      <c r="C60" s="6">
        <f t="shared" si="0"/>
        <v>3</v>
      </c>
      <c r="D60" s="647">
        <v>358</v>
      </c>
      <c r="E60" s="352" t="s">
        <v>568</v>
      </c>
      <c r="F60" s="513"/>
      <c r="G60" s="468"/>
      <c r="H60" s="241"/>
      <c r="I60" s="29"/>
      <c r="J60" s="425">
        <f t="shared" si="5"/>
        <v>0</v>
      </c>
      <c r="K60" s="471"/>
      <c r="L60" s="697" t="str">
        <f t="shared" si="6"/>
        <v/>
      </c>
      <c r="M60" s="719"/>
      <c r="N60" s="720"/>
      <c r="O60" s="720"/>
      <c r="P60" s="720"/>
      <c r="Q60" s="720"/>
      <c r="R60" s="720"/>
      <c r="S60" s="720"/>
      <c r="T60" s="721"/>
      <c r="U60" s="71"/>
      <c r="V60" s="464"/>
      <c r="W60" s="476"/>
      <c r="X60" s="522"/>
      <c r="Y60" s="522"/>
      <c r="Z60" s="522"/>
      <c r="AA60" s="522"/>
      <c r="AB60" s="522"/>
    </row>
    <row r="61" spans="1:28" ht="60" x14ac:dyDescent="0.25">
      <c r="A61" s="646" t="s">
        <v>555</v>
      </c>
      <c r="B61" s="7">
        <f>IF(  AND(ISNUMBER(C61),OR(ISNUMBER(D61),D61="PG")),IF(IF(Capa!$B$6="B",0,Capa!$B$6)&gt;=C61,1,0),"")</f>
        <v>0</v>
      </c>
      <c r="C61" s="6">
        <f t="shared" si="0"/>
        <v>3</v>
      </c>
      <c r="D61" s="647">
        <v>359</v>
      </c>
      <c r="E61" s="352" t="s">
        <v>569</v>
      </c>
      <c r="F61" s="513"/>
      <c r="G61" s="468"/>
      <c r="H61" s="241"/>
      <c r="I61" s="29"/>
      <c r="J61" s="425">
        <f t="shared" si="5"/>
        <v>0</v>
      </c>
      <c r="K61" s="471"/>
      <c r="L61" s="697" t="str">
        <f t="shared" si="6"/>
        <v/>
      </c>
      <c r="M61" s="719"/>
      <c r="N61" s="720"/>
      <c r="O61" s="720"/>
      <c r="P61" s="720"/>
      <c r="Q61" s="720"/>
      <c r="R61" s="720"/>
      <c r="S61" s="720"/>
      <c r="T61" s="721"/>
      <c r="U61" s="71"/>
      <c r="V61" s="464"/>
      <c r="W61" s="476"/>
      <c r="X61" s="522"/>
      <c r="Y61" s="522"/>
      <c r="Z61" s="522"/>
      <c r="AA61" s="522"/>
      <c r="AB61" s="522"/>
    </row>
    <row r="62" spans="1:28" ht="45" x14ac:dyDescent="0.25">
      <c r="A62" s="646" t="s">
        <v>555</v>
      </c>
      <c r="B62" s="7">
        <f>IF(  AND(ISNUMBER(C62),OR(ISNUMBER(D62),D62="PG")),IF(IF(Capa!$B$6="B",0,Capa!$B$6)&gt;=C62,1,0),"")</f>
        <v>0</v>
      </c>
      <c r="C62" s="6">
        <f t="shared" si="0"/>
        <v>3</v>
      </c>
      <c r="D62" s="647">
        <v>360</v>
      </c>
      <c r="E62" s="411" t="s">
        <v>570</v>
      </c>
      <c r="F62" s="513"/>
      <c r="G62" s="468"/>
      <c r="H62" s="241"/>
      <c r="I62" s="29"/>
      <c r="J62" s="425">
        <f t="shared" si="5"/>
        <v>0</v>
      </c>
      <c r="K62" s="471"/>
      <c r="L62" s="697" t="str">
        <f t="shared" si="6"/>
        <v/>
      </c>
      <c r="M62" s="719"/>
      <c r="N62" s="720"/>
      <c r="O62" s="720"/>
      <c r="P62" s="720"/>
      <c r="Q62" s="720"/>
      <c r="R62" s="720"/>
      <c r="S62" s="720"/>
      <c r="T62" s="721"/>
      <c r="U62" s="71"/>
      <c r="V62" s="464"/>
      <c r="W62" s="476"/>
      <c r="X62" s="522"/>
      <c r="Y62" s="522"/>
      <c r="Z62" s="522"/>
      <c r="AA62" s="522"/>
      <c r="AB62" s="522"/>
    </row>
    <row r="63" spans="1:28" ht="8.1" customHeight="1" x14ac:dyDescent="0.25">
      <c r="B63" s="7" t="str">
        <f>IF(  AND(ISNUMBER(C63),OR(ISNUMBER(D63),D63="PG")),IF(IF(Capa!$B$6="B",0,Capa!$B$6)&gt;=C63,1,0),"")</f>
        <v/>
      </c>
      <c r="C63" s="6" t="str">
        <f t="shared" si="0"/>
        <v/>
      </c>
      <c r="D63" s="122"/>
      <c r="E63" s="291"/>
      <c r="F63" s="615"/>
      <c r="G63" s="246"/>
      <c r="H63" s="227"/>
      <c r="I63" s="615"/>
      <c r="J63" s="227"/>
      <c r="K63" s="696"/>
      <c r="L63" s="219"/>
      <c r="M63" s="124"/>
      <c r="N63" s="124"/>
      <c r="O63" s="124"/>
      <c r="P63" s="124"/>
      <c r="Q63" s="124"/>
      <c r="R63" s="124"/>
      <c r="S63" s="251"/>
      <c r="T63" s="251"/>
      <c r="U63" s="260"/>
      <c r="V63" s="547"/>
      <c r="W63" s="125"/>
      <c r="X63" s="522"/>
      <c r="Y63" s="522"/>
      <c r="Z63" s="522"/>
      <c r="AA63" s="522"/>
      <c r="AB63" s="522"/>
    </row>
    <row r="64" spans="1:28" x14ac:dyDescent="0.25">
      <c r="A64" s="210" t="s">
        <v>571</v>
      </c>
      <c r="B64" s="7" t="str">
        <f>IF(  AND(ISNUMBER(C64),OR(ISNUMBER(D64),D64="PG")),IF(IF(Capa!$B$6="B",0,Capa!$B$6)&gt;=C64,1,0),"")</f>
        <v/>
      </c>
      <c r="C64" s="6" t="str">
        <f t="shared" si="0"/>
        <v/>
      </c>
      <c r="D64" s="15"/>
      <c r="E64" s="395" t="s">
        <v>572</v>
      </c>
      <c r="F64" s="23"/>
      <c r="G64" s="470"/>
      <c r="H64" s="219"/>
      <c r="I64" s="36"/>
      <c r="J64" s="219"/>
      <c r="K64" s="504"/>
      <c r="L64" s="383">
        <f>IF(AND($B66=1,D66="PG"),IF(COUNTIFS($A$1:$A$230,"="&amp;$A64,$B$1:$B$230,"&gt;0",$D$1:$D$230,"&gt;0")&gt;0,
        (COUNTIFS($A$1:$A$230,"="&amp;$A64,$B$1:$B$230,"&gt;0",$D$1:$D$230,"&gt;0",F$1:F$230,"=S",I$1:I$230,"") +
         (COUNTIFS($A$1:$A$230,"="&amp;$A64,$B$1:$B$230,"&gt;0",$D$1:$D$230,"&gt;0",$F$1:$F$230,"=P",I$1:I$230,"")/2) +
         COUNTIFS($A$1:$A$230,"="&amp;$A64,$B$1:$B$230,"&gt;0",$D$1:$D$230,"&gt;0",I$1:I$230,"=S") +
         (COUNTIFS($A$1:$A$230,"="&amp;$A64,$B$1:$B$230,"&gt;0",$D$1:$D$230,"&gt;0",I$1:I$230,"=P")/2)
         )/COUNTIFS($A$1:$A$230,"="&amp;$A64,$B$1:$B$230,"&gt;0",$D$1:$D$230,"&gt;0"),1),"")</f>
        <v>0</v>
      </c>
      <c r="M64" s="380"/>
      <c r="N64" s="70"/>
      <c r="O64" s="68"/>
      <c r="P64" s="68"/>
      <c r="Q64" s="83">
        <f>IF(L64="","",MIN(IF(ISBLANK(Q66),0,Q66),IF(L64&gt;0.9,4,IF(L64&gt;0.5,3,IF(L64&gt;0.3,2,IF(OR(L64&gt;0,Q66&gt;0),1,0))))))</f>
        <v>0</v>
      </c>
      <c r="R64" s="83"/>
      <c r="S64" s="303"/>
      <c r="T64" s="303"/>
      <c r="U64" s="303"/>
      <c r="V64" s="578"/>
      <c r="W64" s="581"/>
      <c r="X64" s="579"/>
      <c r="Y64" s="579"/>
      <c r="Z64" s="579"/>
      <c r="AA64" s="579"/>
      <c r="AB64" s="579"/>
    </row>
    <row r="65" spans="1:28" ht="6" customHeight="1" x14ac:dyDescent="0.25">
      <c r="A65" s="210" t="s">
        <v>571</v>
      </c>
      <c r="B65" s="7" t="str">
        <f>IF(  AND(ISNUMBER(C65),OR(ISNUMBER(D65),D65="PG")),IF(IF(Capa!$B$6="B",0,Capa!$B$6)&gt;=C65,1,0),"")</f>
        <v/>
      </c>
      <c r="C65" s="6">
        <f t="shared" si="0"/>
        <v>0</v>
      </c>
      <c r="D65" s="5" t="s">
        <v>53</v>
      </c>
      <c r="E65" s="391"/>
      <c r="F65" s="26"/>
      <c r="G65" s="567"/>
      <c r="H65" s="239"/>
      <c r="I65" s="26"/>
      <c r="J65" s="239"/>
      <c r="K65" s="695"/>
      <c r="L65" s="242"/>
      <c r="M65" s="59"/>
      <c r="N65" s="59"/>
      <c r="O65" s="59"/>
      <c r="P65" s="59"/>
      <c r="Q65" s="59"/>
      <c r="R65" s="59"/>
      <c r="S65" s="262"/>
      <c r="T65" s="262"/>
      <c r="U65" s="355"/>
      <c r="V65" s="465"/>
      <c r="W65" s="478"/>
      <c r="X65" s="522"/>
      <c r="Y65" s="522"/>
      <c r="Z65" s="522"/>
      <c r="AA65" s="522"/>
      <c r="AB65" s="522"/>
    </row>
    <row r="66" spans="1:28" ht="51" x14ac:dyDescent="0.25">
      <c r="A66" s="210" t="s">
        <v>571</v>
      </c>
      <c r="B66" s="7">
        <f>IF(  AND(ISNUMBER(C66),OR(ISNUMBER(D66),D66="PG")),IF(IF(Capa!$B$6="B",0,Capa!$B$6)&gt;=C66,1,0),"")</f>
        <v>1</v>
      </c>
      <c r="C66" s="6">
        <f t="shared" si="0"/>
        <v>0</v>
      </c>
      <c r="D66" s="5" t="s">
        <v>54</v>
      </c>
      <c r="E66" s="389" t="s">
        <v>573</v>
      </c>
      <c r="F66" s="513"/>
      <c r="G66" s="468"/>
      <c r="H66" s="241"/>
      <c r="I66" s="29"/>
      <c r="J66" s="239"/>
      <c r="K66" s="471"/>
      <c r="L66" s="697" t="str">
        <f>IF(OR(AND(NOT(ISBLANK(M66)),M66&lt;IF(Capa!$B$6&lt;&gt;"B",Capa!$B$6+1,1)),AND(NOT(ISBLANK(N66)),N66&lt;IF(Capa!$B$6&lt;&gt;"B",Capa!$B$6+1,1)),AND(NOT(ISBLANK(O66)),O66&lt;IF(Capa!$B$6&lt;&gt;"B",Capa!$B$6+1,1)),AND(NOT(ISBLANK(Q66)),Q66&lt;IF(Capa!$B$6&lt;&gt;"B",Capa!$B$6+1,1)),AND(NOT(ISBLANK(R66)),R66&lt;IF(Capa!$B$6&lt;&gt;"B",Capa!$B$6+1,1)),AND(NOT(ISBLANK(S66)),S66&lt;IF(Capa!$B$6&lt;&gt;"B",Capa!$B$6+1,1))),1,"")</f>
        <v/>
      </c>
      <c r="M66" s="81"/>
      <c r="N66" s="81"/>
      <c r="O66" s="81"/>
      <c r="P66" s="81"/>
      <c r="Q66" s="81"/>
      <c r="R66" s="81"/>
      <c r="S66" s="81"/>
      <c r="T66" s="81"/>
      <c r="U66" s="58"/>
      <c r="V66" s="464"/>
      <c r="W66" s="476"/>
      <c r="X66" s="666"/>
      <c r="Y66" s="522"/>
      <c r="Z66" s="522"/>
      <c r="AA66" s="522"/>
      <c r="AB66" s="522"/>
    </row>
    <row r="67" spans="1:28" ht="42.6" customHeight="1" x14ac:dyDescent="0.25">
      <c r="A67" s="210" t="s">
        <v>571</v>
      </c>
      <c r="B67" s="7">
        <f>IF(  AND(ISNUMBER(C67),OR(ISNUMBER(D67),D67="PG")),IF(IF(Capa!$B$6="B",0,Capa!$B$6)&gt;=C67,1,0),"")</f>
        <v>1</v>
      </c>
      <c r="C67" s="6">
        <f t="shared" si="0"/>
        <v>0</v>
      </c>
      <c r="D67" s="5">
        <v>361</v>
      </c>
      <c r="E67" s="352" t="s">
        <v>574</v>
      </c>
      <c r="F67" s="513"/>
      <c r="G67" s="468"/>
      <c r="H67" s="241"/>
      <c r="I67" s="29"/>
      <c r="J67" s="425">
        <f t="shared" ref="J67:J82" si="7">LEN(K67)</f>
        <v>0</v>
      </c>
      <c r="K67" s="471"/>
      <c r="L67" s="697" t="str">
        <f t="shared" ref="L67:L82" si="8">IF(OR(I67="N",I67="P"),1,"")</f>
        <v/>
      </c>
      <c r="M67" s="719"/>
      <c r="N67" s="720"/>
      <c r="O67" s="720"/>
      <c r="P67" s="720"/>
      <c r="Q67" s="720"/>
      <c r="R67" s="720"/>
      <c r="S67" s="720"/>
      <c r="T67" s="721"/>
      <c r="U67" s="71"/>
      <c r="V67" s="464"/>
      <c r="W67" s="476"/>
      <c r="X67" s="522"/>
      <c r="Y67" s="522"/>
      <c r="Z67" s="522"/>
      <c r="AA67" s="522"/>
      <c r="AB67" s="522"/>
    </row>
    <row r="68" spans="1:28" ht="45" x14ac:dyDescent="0.25">
      <c r="A68" s="210" t="s">
        <v>571</v>
      </c>
      <c r="B68" s="7">
        <f>IF(  AND(ISNUMBER(C68),OR(ISNUMBER(D68),D68="PG")),IF(IF(Capa!$B$6="B",0,Capa!$B$6)&gt;=C68,1,0),"")</f>
        <v>1</v>
      </c>
      <c r="C68" s="6">
        <f t="shared" si="0"/>
        <v>0</v>
      </c>
      <c r="D68" s="5">
        <v>362</v>
      </c>
      <c r="E68" s="352" t="s">
        <v>575</v>
      </c>
      <c r="F68" s="513"/>
      <c r="G68" s="468"/>
      <c r="H68" s="241"/>
      <c r="I68" s="29"/>
      <c r="J68" s="425">
        <f t="shared" si="7"/>
        <v>0</v>
      </c>
      <c r="K68" s="471"/>
      <c r="L68" s="697" t="str">
        <f t="shared" si="8"/>
        <v/>
      </c>
      <c r="M68" s="719"/>
      <c r="N68" s="720"/>
      <c r="O68" s="720"/>
      <c r="P68" s="720"/>
      <c r="Q68" s="720"/>
      <c r="R68" s="720"/>
      <c r="S68" s="720"/>
      <c r="T68" s="721"/>
      <c r="U68" s="71"/>
      <c r="V68" s="464"/>
      <c r="W68" s="476"/>
      <c r="X68" s="522"/>
      <c r="Y68" s="522"/>
      <c r="Z68" s="522"/>
      <c r="AA68" s="522"/>
      <c r="AB68" s="522"/>
    </row>
    <row r="69" spans="1:28" ht="45" x14ac:dyDescent="0.25">
      <c r="A69" s="210" t="s">
        <v>571</v>
      </c>
      <c r="B69" s="7">
        <f>IF(  AND(ISNUMBER(C69),OR(ISNUMBER(D69),D69="PG")),IF(IF(Capa!$B$6="B",0,Capa!$B$6)&gt;=C69,1,0),"")</f>
        <v>1</v>
      </c>
      <c r="C69" s="6">
        <f t="shared" ref="C69:C132" si="9">IF(ISBLANK(D69),"",IF(ISERR(SEARCH(D69&amp;"\","&lt;B&gt;\&lt;1&gt;\&lt;2&gt;\&lt;3&gt;\")),IF(AND(NOT(ISBLANK(C68)),C68&lt;=3),C68,""),
IF(SEARCH(D69&amp;"\","&lt;B&gt;\&lt;1&gt;\&lt;2&gt;\&lt;3&gt;\")=1,0,IF(SEARCH(D69&amp;"\","&lt;B&gt;\&lt;1&gt;\&lt;2&gt;\&lt;3&gt;\")=5,1,IF(SEARCH(D69&amp;"\","&lt;B&gt;\&lt;1&gt;\&lt;2&gt;\&lt;3&gt;\")=9,2,IF(SEARCH(D69&amp;"\","&lt;B&gt;\&lt;1&gt;\&lt;2&gt;\&lt;3&gt;\")=13,3,""))))))</f>
        <v>0</v>
      </c>
      <c r="D69" s="5">
        <v>363</v>
      </c>
      <c r="E69" s="411" t="s">
        <v>576</v>
      </c>
      <c r="F69" s="513"/>
      <c r="G69" s="468"/>
      <c r="H69" s="241"/>
      <c r="I69" s="29"/>
      <c r="J69" s="425">
        <f t="shared" si="7"/>
        <v>0</v>
      </c>
      <c r="K69" s="471"/>
      <c r="L69" s="697" t="str">
        <f t="shared" si="8"/>
        <v/>
      </c>
      <c r="M69" s="719"/>
      <c r="N69" s="720"/>
      <c r="O69" s="720"/>
      <c r="P69" s="720"/>
      <c r="Q69" s="720"/>
      <c r="R69" s="720"/>
      <c r="S69" s="720"/>
      <c r="T69" s="721"/>
      <c r="U69" s="71"/>
      <c r="V69" s="464"/>
      <c r="W69" s="476"/>
      <c r="X69" s="522"/>
      <c r="Y69" s="522"/>
      <c r="Z69" s="522"/>
      <c r="AA69" s="522"/>
      <c r="AB69" s="522"/>
    </row>
    <row r="70" spans="1:28" ht="6" customHeight="1" x14ac:dyDescent="0.25">
      <c r="A70" s="210" t="s">
        <v>571</v>
      </c>
      <c r="B70" s="7" t="str">
        <f>IF(  AND(ISNUMBER(C70),OR(ISNUMBER(D70),D70="PG")),IF(IF(Capa!$B$6="B",0,Capa!$B$6)&gt;=C70,1,0),"")</f>
        <v/>
      </c>
      <c r="C70" s="6">
        <f t="shared" si="9"/>
        <v>1</v>
      </c>
      <c r="D70" s="5" t="s">
        <v>62</v>
      </c>
      <c r="E70" s="352"/>
      <c r="F70" s="513"/>
      <c r="G70" s="468"/>
      <c r="H70" s="241"/>
      <c r="I70" s="29"/>
      <c r="J70" s="425">
        <f t="shared" si="7"/>
        <v>0</v>
      </c>
      <c r="K70" s="471"/>
      <c r="L70" s="697" t="str">
        <f t="shared" si="8"/>
        <v/>
      </c>
      <c r="M70" s="719"/>
      <c r="N70" s="720"/>
      <c r="O70" s="720"/>
      <c r="P70" s="720"/>
      <c r="Q70" s="720"/>
      <c r="R70" s="720"/>
      <c r="S70" s="720"/>
      <c r="T70" s="721"/>
      <c r="U70" s="71"/>
      <c r="V70" s="464"/>
      <c r="W70" s="476"/>
      <c r="X70" s="522"/>
      <c r="Y70" s="522"/>
      <c r="Z70" s="522"/>
      <c r="AA70" s="522"/>
      <c r="AB70" s="522"/>
    </row>
    <row r="71" spans="1:28" ht="60" x14ac:dyDescent="0.25">
      <c r="A71" s="210" t="s">
        <v>571</v>
      </c>
      <c r="B71" s="7">
        <f>IF(  AND(ISNUMBER(C71),OR(ISNUMBER(D71),D71="PG")),IF(IF(Capa!$B$6="B",0,Capa!$B$6)&gt;=C71,1,0),"")</f>
        <v>0</v>
      </c>
      <c r="C71" s="6">
        <f t="shared" si="9"/>
        <v>1</v>
      </c>
      <c r="D71" s="5">
        <v>364</v>
      </c>
      <c r="E71" s="352" t="s">
        <v>577</v>
      </c>
      <c r="F71" s="513"/>
      <c r="G71" s="468"/>
      <c r="H71" s="241"/>
      <c r="I71" s="29"/>
      <c r="J71" s="425">
        <f t="shared" si="7"/>
        <v>0</v>
      </c>
      <c r="K71" s="471"/>
      <c r="L71" s="697" t="str">
        <f t="shared" si="8"/>
        <v/>
      </c>
      <c r="M71" s="719"/>
      <c r="N71" s="720"/>
      <c r="O71" s="720"/>
      <c r="P71" s="720"/>
      <c r="Q71" s="720"/>
      <c r="R71" s="720"/>
      <c r="S71" s="720"/>
      <c r="T71" s="721"/>
      <c r="U71" s="71"/>
      <c r="V71" s="464"/>
      <c r="W71" s="476"/>
      <c r="X71" s="522"/>
      <c r="Y71" s="522"/>
      <c r="Z71" s="522"/>
      <c r="AA71" s="522"/>
      <c r="AB71" s="522"/>
    </row>
    <row r="72" spans="1:28" ht="60" x14ac:dyDescent="0.25">
      <c r="A72" s="210" t="s">
        <v>571</v>
      </c>
      <c r="B72" s="7">
        <f>IF(  AND(ISNUMBER(C72),OR(ISNUMBER(D72),D72="PG")),IF(IF(Capa!$B$6="B",0,Capa!$B$6)&gt;=C72,1,0),"")</f>
        <v>0</v>
      </c>
      <c r="C72" s="6">
        <f t="shared" si="9"/>
        <v>1</v>
      </c>
      <c r="D72" s="5">
        <v>365</v>
      </c>
      <c r="E72" s="352" t="s">
        <v>578</v>
      </c>
      <c r="F72" s="513"/>
      <c r="G72" s="468"/>
      <c r="H72" s="241"/>
      <c r="I72" s="29"/>
      <c r="J72" s="425">
        <f t="shared" si="7"/>
        <v>0</v>
      </c>
      <c r="K72" s="471"/>
      <c r="L72" s="697" t="str">
        <f t="shared" si="8"/>
        <v/>
      </c>
      <c r="M72" s="719"/>
      <c r="N72" s="720"/>
      <c r="O72" s="720"/>
      <c r="P72" s="720"/>
      <c r="Q72" s="720"/>
      <c r="R72" s="720"/>
      <c r="S72" s="720"/>
      <c r="T72" s="721"/>
      <c r="U72" s="71"/>
      <c r="V72" s="464"/>
      <c r="W72" s="476"/>
      <c r="X72" s="522"/>
      <c r="Y72" s="522"/>
      <c r="Z72" s="522"/>
      <c r="AA72" s="522"/>
      <c r="AB72" s="522"/>
    </row>
    <row r="73" spans="1:28" ht="6.6" customHeight="1" x14ac:dyDescent="0.25">
      <c r="A73" s="210" t="s">
        <v>571</v>
      </c>
      <c r="B73" s="7" t="str">
        <f>IF(  AND(ISNUMBER(C73),OR(ISNUMBER(D73),D73="PG")),IF(IF(Capa!$B$6="B",0,Capa!$B$6)&gt;=C73,1,0),"")</f>
        <v/>
      </c>
      <c r="C73" s="6">
        <f t="shared" si="9"/>
        <v>2</v>
      </c>
      <c r="D73" s="5" t="s">
        <v>64</v>
      </c>
      <c r="E73" s="352"/>
      <c r="F73" s="513"/>
      <c r="G73" s="468"/>
      <c r="H73" s="241"/>
      <c r="I73" s="29"/>
      <c r="J73" s="425">
        <f t="shared" si="7"/>
        <v>0</v>
      </c>
      <c r="K73" s="471"/>
      <c r="L73" s="697" t="str">
        <f t="shared" si="8"/>
        <v/>
      </c>
      <c r="M73" s="719"/>
      <c r="N73" s="720"/>
      <c r="O73" s="720"/>
      <c r="P73" s="720"/>
      <c r="Q73" s="720"/>
      <c r="R73" s="720"/>
      <c r="S73" s="720"/>
      <c r="T73" s="721"/>
      <c r="U73" s="71"/>
      <c r="V73" s="464"/>
      <c r="W73" s="476"/>
      <c r="X73" s="522"/>
      <c r="Y73" s="522"/>
      <c r="Z73" s="522"/>
      <c r="AA73" s="522"/>
      <c r="AB73" s="522"/>
    </row>
    <row r="74" spans="1:28" ht="30" x14ac:dyDescent="0.25">
      <c r="A74" s="210" t="s">
        <v>571</v>
      </c>
      <c r="B74" s="7">
        <f>IF(  AND(ISNUMBER(C74),OR(ISNUMBER(D74),D74="PG")),IF(IF(Capa!$B$6="B",0,Capa!$B$6)&gt;=C74,1,0),"")</f>
        <v>0</v>
      </c>
      <c r="C74" s="6">
        <f t="shared" si="9"/>
        <v>2</v>
      </c>
      <c r="D74" s="5">
        <v>366</v>
      </c>
      <c r="E74" s="398" t="s">
        <v>579</v>
      </c>
      <c r="F74" s="513"/>
      <c r="G74" s="468"/>
      <c r="H74" s="241"/>
      <c r="I74" s="29"/>
      <c r="J74" s="425">
        <f t="shared" si="7"/>
        <v>0</v>
      </c>
      <c r="K74" s="471"/>
      <c r="L74" s="697" t="str">
        <f t="shared" si="8"/>
        <v/>
      </c>
      <c r="M74" s="719"/>
      <c r="N74" s="720"/>
      <c r="O74" s="720"/>
      <c r="P74" s="720"/>
      <c r="Q74" s="720"/>
      <c r="R74" s="720"/>
      <c r="S74" s="720"/>
      <c r="T74" s="721"/>
      <c r="U74" s="71"/>
      <c r="V74" s="464"/>
      <c r="W74" s="476"/>
      <c r="X74" s="666"/>
      <c r="Y74" s="522"/>
      <c r="Z74" s="522"/>
      <c r="AA74" s="522"/>
      <c r="AB74" s="522"/>
    </row>
    <row r="75" spans="1:28" ht="45" x14ac:dyDescent="0.25">
      <c r="A75" s="210" t="s">
        <v>571</v>
      </c>
      <c r="B75" s="7">
        <f>IF(  AND(ISNUMBER(C75),OR(ISNUMBER(D75),D75="PG")),IF(IF(Capa!$B$6="B",0,Capa!$B$6)&gt;=C75,1,0),"")</f>
        <v>0</v>
      </c>
      <c r="C75" s="6">
        <f t="shared" si="9"/>
        <v>2</v>
      </c>
      <c r="D75" s="5">
        <v>367</v>
      </c>
      <c r="E75" s="352" t="s">
        <v>580</v>
      </c>
      <c r="F75" s="513"/>
      <c r="G75" s="468"/>
      <c r="H75" s="241"/>
      <c r="I75" s="29"/>
      <c r="J75" s="425">
        <f t="shared" si="7"/>
        <v>0</v>
      </c>
      <c r="K75" s="471"/>
      <c r="L75" s="697" t="str">
        <f t="shared" si="8"/>
        <v/>
      </c>
      <c r="M75" s="719"/>
      <c r="N75" s="720"/>
      <c r="O75" s="720"/>
      <c r="P75" s="720"/>
      <c r="Q75" s="720"/>
      <c r="R75" s="720"/>
      <c r="S75" s="720"/>
      <c r="T75" s="721"/>
      <c r="U75" s="71"/>
      <c r="V75" s="464"/>
      <c r="W75" s="476"/>
      <c r="X75" s="522"/>
      <c r="Y75" s="522"/>
      <c r="Z75" s="522"/>
      <c r="AA75" s="522"/>
      <c r="AB75" s="522"/>
    </row>
    <row r="76" spans="1:28" ht="45" x14ac:dyDescent="0.25">
      <c r="A76" s="210" t="s">
        <v>571</v>
      </c>
      <c r="B76" s="7">
        <f>IF(  AND(ISNUMBER(C76),OR(ISNUMBER(D76),D76="PG")),IF(IF(Capa!$B$6="B",0,Capa!$B$6)&gt;=C76,1,0),"")</f>
        <v>0</v>
      </c>
      <c r="C76" s="6">
        <f t="shared" si="9"/>
        <v>2</v>
      </c>
      <c r="D76" s="5">
        <v>368</v>
      </c>
      <c r="E76" s="352" t="s">
        <v>581</v>
      </c>
      <c r="F76" s="513"/>
      <c r="G76" s="468"/>
      <c r="H76" s="241"/>
      <c r="I76" s="29"/>
      <c r="J76" s="425">
        <f t="shared" si="7"/>
        <v>0</v>
      </c>
      <c r="K76" s="471"/>
      <c r="L76" s="697" t="str">
        <f t="shared" si="8"/>
        <v/>
      </c>
      <c r="M76" s="719"/>
      <c r="N76" s="720"/>
      <c r="O76" s="720"/>
      <c r="P76" s="720"/>
      <c r="Q76" s="720"/>
      <c r="R76" s="720"/>
      <c r="S76" s="720"/>
      <c r="T76" s="721"/>
      <c r="U76" s="71"/>
      <c r="V76" s="464"/>
      <c r="W76" s="476"/>
      <c r="X76" s="522"/>
      <c r="Y76" s="522"/>
      <c r="Z76" s="522"/>
      <c r="AA76" s="522"/>
      <c r="AB76" s="522"/>
    </row>
    <row r="77" spans="1:28" ht="45" x14ac:dyDescent="0.25">
      <c r="A77" s="210" t="s">
        <v>571</v>
      </c>
      <c r="B77" s="7">
        <f>IF(  AND(ISNUMBER(C77),OR(ISNUMBER(D77),D77="PG")),IF(IF(Capa!$B$6="B",0,Capa!$B$6)&gt;=C77,1,0),"")</f>
        <v>0</v>
      </c>
      <c r="C77" s="6">
        <f t="shared" si="9"/>
        <v>2</v>
      </c>
      <c r="D77" s="5">
        <v>369</v>
      </c>
      <c r="E77" s="352" t="s">
        <v>582</v>
      </c>
      <c r="F77" s="513"/>
      <c r="G77" s="468"/>
      <c r="H77" s="241"/>
      <c r="I77" s="29"/>
      <c r="J77" s="425">
        <f t="shared" si="7"/>
        <v>0</v>
      </c>
      <c r="K77" s="471"/>
      <c r="L77" s="697" t="str">
        <f t="shared" si="8"/>
        <v/>
      </c>
      <c r="M77" s="719"/>
      <c r="N77" s="720"/>
      <c r="O77" s="720"/>
      <c r="P77" s="720"/>
      <c r="Q77" s="720"/>
      <c r="R77" s="720"/>
      <c r="S77" s="720"/>
      <c r="T77" s="721"/>
      <c r="U77" s="71"/>
      <c r="V77" s="464"/>
      <c r="W77" s="476"/>
      <c r="X77" s="522"/>
      <c r="Y77" s="522"/>
      <c r="Z77" s="522"/>
      <c r="AA77" s="522"/>
      <c r="AB77" s="522"/>
    </row>
    <row r="78" spans="1:28" ht="6.6" customHeight="1" x14ac:dyDescent="0.25">
      <c r="A78" s="210" t="s">
        <v>571</v>
      </c>
      <c r="B78" s="7" t="str">
        <f>IF(  AND(ISNUMBER(C78),OR(ISNUMBER(D78),D78="PG")),IF(IF(Capa!$B$6="B",0,Capa!$B$6)&gt;=C78,1,0),"")</f>
        <v/>
      </c>
      <c r="C78" s="6">
        <f t="shared" si="9"/>
        <v>3</v>
      </c>
      <c r="D78" s="5" t="s">
        <v>70</v>
      </c>
      <c r="E78" s="352"/>
      <c r="F78" s="513"/>
      <c r="G78" s="468"/>
      <c r="H78" s="241"/>
      <c r="I78" s="29"/>
      <c r="J78" s="425">
        <f t="shared" si="7"/>
        <v>0</v>
      </c>
      <c r="K78" s="471"/>
      <c r="L78" s="697" t="str">
        <f t="shared" si="8"/>
        <v/>
      </c>
      <c r="M78" s="719"/>
      <c r="N78" s="720"/>
      <c r="O78" s="720"/>
      <c r="P78" s="720"/>
      <c r="Q78" s="720"/>
      <c r="R78" s="720"/>
      <c r="S78" s="720"/>
      <c r="T78" s="721"/>
      <c r="U78" s="71"/>
      <c r="V78" s="464"/>
      <c r="W78" s="476"/>
      <c r="X78" s="522"/>
      <c r="Y78" s="522"/>
      <c r="Z78" s="522"/>
      <c r="AA78" s="522"/>
      <c r="AB78" s="522"/>
    </row>
    <row r="79" spans="1:28" ht="45" x14ac:dyDescent="0.25">
      <c r="A79" s="210" t="s">
        <v>571</v>
      </c>
      <c r="B79" s="7">
        <f>IF(  AND(ISNUMBER(C79),OR(ISNUMBER(D79),D79="PG")),IF(IF(Capa!$B$6="B",0,Capa!$B$6)&gt;=C79,1,0),"")</f>
        <v>0</v>
      </c>
      <c r="C79" s="6">
        <f t="shared" si="9"/>
        <v>3</v>
      </c>
      <c r="D79" s="5">
        <v>370</v>
      </c>
      <c r="E79" s="352" t="s">
        <v>583</v>
      </c>
      <c r="F79" s="513"/>
      <c r="G79" s="468"/>
      <c r="H79" s="241"/>
      <c r="I79" s="29"/>
      <c r="J79" s="425">
        <f t="shared" si="7"/>
        <v>0</v>
      </c>
      <c r="K79" s="471"/>
      <c r="L79" s="697" t="str">
        <f t="shared" si="8"/>
        <v/>
      </c>
      <c r="M79" s="719"/>
      <c r="N79" s="720"/>
      <c r="O79" s="720"/>
      <c r="P79" s="720"/>
      <c r="Q79" s="720"/>
      <c r="R79" s="720"/>
      <c r="S79" s="720"/>
      <c r="T79" s="721"/>
      <c r="U79" s="71"/>
      <c r="V79" s="464"/>
      <c r="W79" s="476"/>
      <c r="X79" s="522"/>
      <c r="Y79" s="522"/>
      <c r="Z79" s="522"/>
      <c r="AA79" s="522"/>
      <c r="AB79" s="522"/>
    </row>
    <row r="80" spans="1:28" ht="52.9" customHeight="1" x14ac:dyDescent="0.25">
      <c r="A80" s="210" t="s">
        <v>571</v>
      </c>
      <c r="B80" s="7">
        <f>IF(  AND(ISNUMBER(C80),OR(ISNUMBER(D80),D80="PG")),IF(IF(Capa!$B$6="B",0,Capa!$B$6)&gt;=C80,1,0),"")</f>
        <v>0</v>
      </c>
      <c r="C80" s="6">
        <f t="shared" si="9"/>
        <v>3</v>
      </c>
      <c r="D80" s="5">
        <v>371</v>
      </c>
      <c r="E80" s="411" t="s">
        <v>584</v>
      </c>
      <c r="F80" s="513"/>
      <c r="G80" s="468"/>
      <c r="H80" s="241"/>
      <c r="I80" s="29"/>
      <c r="J80" s="425">
        <f t="shared" si="7"/>
        <v>0</v>
      </c>
      <c r="K80" s="471"/>
      <c r="L80" s="697" t="str">
        <f t="shared" si="8"/>
        <v/>
      </c>
      <c r="M80" s="719"/>
      <c r="N80" s="720"/>
      <c r="O80" s="720"/>
      <c r="P80" s="720"/>
      <c r="Q80" s="720"/>
      <c r="R80" s="720"/>
      <c r="S80" s="720"/>
      <c r="T80" s="721"/>
      <c r="U80" s="71"/>
      <c r="V80" s="464"/>
      <c r="W80" s="476"/>
      <c r="X80" s="522"/>
      <c r="Y80" s="522"/>
      <c r="Z80" s="522"/>
      <c r="AA80" s="522"/>
      <c r="AB80" s="522"/>
    </row>
    <row r="81" spans="1:28" ht="39" customHeight="1" x14ac:dyDescent="0.25">
      <c r="A81" s="210" t="s">
        <v>571</v>
      </c>
      <c r="B81" s="7">
        <f>IF(  AND(ISNUMBER(C81),OR(ISNUMBER(D81),D81="PG")),IF(IF(Capa!$B$6="B",0,Capa!$B$6)&gt;=C81,1,0),"")</f>
        <v>0</v>
      </c>
      <c r="C81" s="6">
        <f t="shared" si="9"/>
        <v>3</v>
      </c>
      <c r="D81" s="5">
        <v>372</v>
      </c>
      <c r="E81" s="352" t="s">
        <v>585</v>
      </c>
      <c r="F81" s="513"/>
      <c r="G81" s="468"/>
      <c r="H81" s="241"/>
      <c r="I81" s="29"/>
      <c r="J81" s="425">
        <f t="shared" si="7"/>
        <v>0</v>
      </c>
      <c r="K81" s="471"/>
      <c r="L81" s="697" t="str">
        <f t="shared" si="8"/>
        <v/>
      </c>
      <c r="M81" s="719"/>
      <c r="N81" s="720"/>
      <c r="O81" s="720"/>
      <c r="P81" s="720"/>
      <c r="Q81" s="720"/>
      <c r="R81" s="720"/>
      <c r="S81" s="720"/>
      <c r="T81" s="721"/>
      <c r="U81" s="71"/>
      <c r="V81" s="464"/>
      <c r="W81" s="476"/>
      <c r="X81" s="522"/>
      <c r="Y81" s="522"/>
      <c r="Z81" s="522"/>
      <c r="AA81" s="522"/>
      <c r="AB81" s="522"/>
    </row>
    <row r="82" spans="1:28" ht="45" x14ac:dyDescent="0.25">
      <c r="A82" s="210" t="s">
        <v>571</v>
      </c>
      <c r="B82" s="7">
        <f>IF(  AND(ISNUMBER(C82),OR(ISNUMBER(D82),D82="PG")),IF(IF(Capa!$B$6="B",0,Capa!$B$6)&gt;=C82,1,0),"")</f>
        <v>0</v>
      </c>
      <c r="C82" s="6">
        <f t="shared" si="9"/>
        <v>3</v>
      </c>
      <c r="D82" s="5">
        <v>373</v>
      </c>
      <c r="E82" s="405" t="s">
        <v>586</v>
      </c>
      <c r="F82" s="513"/>
      <c r="G82" s="468"/>
      <c r="H82" s="241"/>
      <c r="I82" s="29"/>
      <c r="J82" s="425">
        <f t="shared" si="7"/>
        <v>0</v>
      </c>
      <c r="K82" s="471"/>
      <c r="L82" s="697" t="str">
        <f t="shared" si="8"/>
        <v/>
      </c>
      <c r="M82" s="719"/>
      <c r="N82" s="720"/>
      <c r="O82" s="720"/>
      <c r="P82" s="720"/>
      <c r="Q82" s="720"/>
      <c r="R82" s="720"/>
      <c r="S82" s="720"/>
      <c r="T82" s="721"/>
      <c r="U82" s="71"/>
      <c r="V82" s="464"/>
      <c r="W82" s="476"/>
      <c r="X82" s="522"/>
      <c r="Y82" s="522"/>
      <c r="Z82" s="522"/>
      <c r="AA82" s="522"/>
      <c r="AB82" s="522"/>
    </row>
    <row r="83" spans="1:28" ht="8.1" customHeight="1" x14ac:dyDescent="0.25">
      <c r="B83" s="7" t="str">
        <f>IF(  AND(ISNUMBER(C83),OR(ISNUMBER(D83),D83="PG")),IF(IF(Capa!$B$6="B",0,Capa!$B$6)&gt;=C83,1,0),"")</f>
        <v/>
      </c>
      <c r="C83" s="6" t="str">
        <f t="shared" si="9"/>
        <v/>
      </c>
      <c r="D83" s="122"/>
      <c r="E83" s="291"/>
      <c r="F83" s="123"/>
      <c r="G83" s="227"/>
      <c r="H83" s="227"/>
      <c r="I83" s="123"/>
      <c r="J83" s="227"/>
      <c r="K83" s="694"/>
      <c r="L83" s="219"/>
      <c r="M83" s="124"/>
      <c r="N83" s="124"/>
      <c r="O83" s="124"/>
      <c r="P83" s="124"/>
      <c r="Q83" s="124"/>
      <c r="R83" s="124"/>
      <c r="S83" s="251"/>
      <c r="T83" s="251"/>
      <c r="U83" s="260"/>
      <c r="V83" s="547"/>
      <c r="W83" s="125"/>
      <c r="X83" s="522"/>
      <c r="Y83" s="522"/>
      <c r="Z83" s="522"/>
      <c r="AA83" s="522"/>
      <c r="AB83" s="522"/>
    </row>
    <row r="84" spans="1:28" x14ac:dyDescent="0.25">
      <c r="A84" s="210" t="s">
        <v>587</v>
      </c>
      <c r="B84" s="7" t="str">
        <f>IF(  AND(ISNUMBER(C84),OR(ISNUMBER(D84),D84="PG")),IF(IF(Capa!$B$6="B",0,Capa!$B$6)&gt;=C84,1,0),"")</f>
        <v/>
      </c>
      <c r="C84" s="6" t="str">
        <f t="shared" si="9"/>
        <v/>
      </c>
      <c r="D84" s="15"/>
      <c r="E84" s="395" t="s">
        <v>588</v>
      </c>
      <c r="F84" s="23"/>
      <c r="G84" s="470"/>
      <c r="H84" s="219"/>
      <c r="I84" s="23"/>
      <c r="J84" s="219"/>
      <c r="K84" s="504"/>
      <c r="L84" s="383">
        <f>IF(AND($B86=1,D86="PG"),IF(COUNTIFS($A$1:$A$230,"="&amp;$A84,$B$1:$B$230,"&gt;0",$D$1:$D$230,"&gt;0")&gt;0,
        (COUNTIFS($A$1:$A$230,"="&amp;$A84,$B$1:$B$230,"&gt;0",$D$1:$D$230,"&gt;0",F$1:F$230,"=S",I$1:I$230,"") +
         (COUNTIFS($A$1:$A$230,"="&amp;$A84,$B$1:$B$230,"&gt;0",$D$1:$D$230,"&gt;0",$F$1:$F$230,"=P",I$1:I$230,"")/2) +
         COUNTIFS($A$1:$A$230,"="&amp;$A84,$B$1:$B$230,"&gt;0",$D$1:$D$230,"&gt;0",I$1:I$230,"=S") +
         (COUNTIFS($A$1:$A$230,"="&amp;$A84,$B$1:$B$230,"&gt;0",$D$1:$D$230,"&gt;0",I$1:I$230,"=P")/2)
         )/COUNTIFS($A$1:$A$230,"="&amp;$A84,$B$1:$B$230,"&gt;0",$D$1:$D$230,"&gt;0"),1),"")</f>
        <v>0</v>
      </c>
      <c r="M84" s="380"/>
      <c r="N84" s="70"/>
      <c r="O84" s="68"/>
      <c r="P84" s="68"/>
      <c r="Q84" s="83">
        <f>IF(L84="","",MIN(IF(ISBLANK(Q86),0,Q86),IF(L84&gt;0.9,4,IF(L84&gt;0.5,3,IF(L84&gt;0.3,2,IF(OR(L84&gt;0,Q86&gt;0),1,0))))))</f>
        <v>0</v>
      </c>
      <c r="R84" s="70"/>
      <c r="S84" s="260"/>
      <c r="T84" s="260"/>
      <c r="U84" s="260"/>
      <c r="V84" s="545"/>
      <c r="W84" s="66"/>
      <c r="X84" s="579"/>
      <c r="Y84" s="579"/>
      <c r="Z84" s="579"/>
      <c r="AA84" s="579"/>
      <c r="AB84" s="579"/>
    </row>
    <row r="85" spans="1:28" ht="6.6" customHeight="1" x14ac:dyDescent="0.25">
      <c r="A85" s="210" t="s">
        <v>587</v>
      </c>
      <c r="B85" s="7" t="str">
        <f>IF(  AND(ISNUMBER(C85),OR(ISNUMBER(D85),D85="PG")),IF(IF(Capa!$B$6="B",0,Capa!$B$6)&gt;=C85,1,0),"")</f>
        <v/>
      </c>
      <c r="C85" s="6">
        <f t="shared" si="9"/>
        <v>0</v>
      </c>
      <c r="D85" s="5" t="s">
        <v>53</v>
      </c>
      <c r="E85" s="391"/>
      <c r="F85" s="26"/>
      <c r="G85" s="567"/>
      <c r="H85" s="239"/>
      <c r="I85" s="26"/>
      <c r="J85" s="239"/>
      <c r="K85" s="695"/>
      <c r="L85" s="242"/>
      <c r="M85" s="59"/>
      <c r="N85" s="59"/>
      <c r="O85" s="59"/>
      <c r="P85" s="59"/>
      <c r="Q85" s="59"/>
      <c r="R85" s="59"/>
      <c r="S85" s="262"/>
      <c r="T85" s="262"/>
      <c r="U85" s="355"/>
      <c r="V85" s="465"/>
      <c r="W85" s="478"/>
      <c r="X85" s="522"/>
      <c r="Y85" s="522"/>
      <c r="Z85" s="522"/>
      <c r="AA85" s="522"/>
      <c r="AB85" s="522"/>
    </row>
    <row r="86" spans="1:28" ht="38.25" x14ac:dyDescent="0.25">
      <c r="A86" s="646" t="s">
        <v>587</v>
      </c>
      <c r="B86" s="7">
        <f>IF(  AND(ISNUMBER(C86),OR(ISNUMBER(D86),D86="PG")),IF(IF(Capa!$B$6="B",0,Capa!$B$6)&gt;=C86,1,0),"")</f>
        <v>1</v>
      </c>
      <c r="C86" s="6">
        <f t="shared" si="9"/>
        <v>0</v>
      </c>
      <c r="D86" s="647" t="s">
        <v>54</v>
      </c>
      <c r="E86" s="389" t="s">
        <v>589</v>
      </c>
      <c r="F86" s="513"/>
      <c r="G86" s="468"/>
      <c r="H86" s="241"/>
      <c r="I86" s="29"/>
      <c r="J86" s="239"/>
      <c r="K86" s="471"/>
      <c r="L86" s="697" t="str">
        <f>IF(OR(AND(NOT(ISBLANK(M86)),M86&lt;IF(Capa!$B$6&lt;&gt;"B",Capa!$B$6+1,1)),AND(NOT(ISBLANK(N86)),N86&lt;IF(Capa!$B$6&lt;&gt;"B",Capa!$B$6+1,1)),AND(NOT(ISBLANK(O86)),O86&lt;IF(Capa!$B$6&lt;&gt;"B",Capa!$B$6+1,1)),AND(NOT(ISBLANK(Q86)),Q86&lt;IF(Capa!$B$6&lt;&gt;"B",Capa!$B$6+1,1)),AND(NOT(ISBLANK(R86)),R86&lt;IF(Capa!$B$6&lt;&gt;"B",Capa!$B$6+1,1)),AND(NOT(ISBLANK(S86)),S86&lt;IF(Capa!$B$6&lt;&gt;"B",Capa!$B$6+1,1))),1,"")</f>
        <v/>
      </c>
      <c r="M86" s="81"/>
      <c r="N86" s="81"/>
      <c r="O86" s="81"/>
      <c r="P86" s="81"/>
      <c r="Q86" s="81"/>
      <c r="R86" s="81"/>
      <c r="S86" s="81"/>
      <c r="T86" s="81"/>
      <c r="U86" s="58"/>
      <c r="V86" s="464"/>
      <c r="W86" s="476"/>
      <c r="X86" s="666"/>
      <c r="Y86" s="522"/>
      <c r="Z86" s="522"/>
      <c r="AA86" s="522"/>
      <c r="AB86" s="522"/>
    </row>
    <row r="87" spans="1:28" ht="30" customHeight="1" x14ac:dyDescent="0.25">
      <c r="A87" s="646" t="s">
        <v>587</v>
      </c>
      <c r="B87" s="7">
        <f>IF(  AND(ISNUMBER(C87),OR(ISNUMBER(D87),D87="PG")),IF(IF(Capa!$B$6="B",0,Capa!$B$6)&gt;=C87,1,0),"")</f>
        <v>1</v>
      </c>
      <c r="C87" s="6">
        <f t="shared" si="9"/>
        <v>0</v>
      </c>
      <c r="D87" s="647">
        <v>374</v>
      </c>
      <c r="E87" s="352" t="s">
        <v>590</v>
      </c>
      <c r="F87" s="513"/>
      <c r="G87" s="468"/>
      <c r="H87" s="241"/>
      <c r="I87" s="29"/>
      <c r="J87" s="425">
        <f t="shared" ref="J87:J106" si="10">LEN(K87)</f>
        <v>0</v>
      </c>
      <c r="K87" s="471"/>
      <c r="L87" s="697" t="str">
        <f t="shared" ref="L87:L106" si="11">IF(OR(I87="N",I87="P"),1,"")</f>
        <v/>
      </c>
      <c r="M87" s="719"/>
      <c r="N87" s="720"/>
      <c r="O87" s="720"/>
      <c r="P87" s="720"/>
      <c r="Q87" s="720"/>
      <c r="R87" s="720"/>
      <c r="S87" s="720"/>
      <c r="T87" s="721"/>
      <c r="U87" s="71"/>
      <c r="V87" s="464"/>
      <c r="W87" s="476"/>
      <c r="X87" s="522"/>
      <c r="Y87" s="522"/>
      <c r="Z87" s="522"/>
      <c r="AA87" s="522"/>
      <c r="AB87" s="522"/>
    </row>
    <row r="88" spans="1:28" ht="69" customHeight="1" x14ac:dyDescent="0.25">
      <c r="A88" s="646" t="s">
        <v>587</v>
      </c>
      <c r="B88" s="7">
        <f>IF(  AND(ISNUMBER(C88),OR(ISNUMBER(D88),D88="PG")),IF(IF(Capa!$B$6="B",0,Capa!$B$6)&gt;=C88,1,0),"")</f>
        <v>1</v>
      </c>
      <c r="C88" s="6">
        <f t="shared" si="9"/>
        <v>0</v>
      </c>
      <c r="D88" s="647">
        <v>375</v>
      </c>
      <c r="E88" s="352" t="s">
        <v>591</v>
      </c>
      <c r="F88" s="513"/>
      <c r="G88" s="468"/>
      <c r="H88" s="241"/>
      <c r="I88" s="29"/>
      <c r="J88" s="425">
        <f t="shared" si="10"/>
        <v>0</v>
      </c>
      <c r="K88" s="471"/>
      <c r="L88" s="697" t="str">
        <f t="shared" si="11"/>
        <v/>
      </c>
      <c r="M88" s="719"/>
      <c r="N88" s="720"/>
      <c r="O88" s="720"/>
      <c r="P88" s="720"/>
      <c r="Q88" s="720"/>
      <c r="R88" s="720"/>
      <c r="S88" s="720"/>
      <c r="T88" s="721"/>
      <c r="U88" s="71"/>
      <c r="V88" s="464"/>
      <c r="W88" s="476"/>
      <c r="X88" s="522"/>
      <c r="Y88" s="522"/>
      <c r="Z88" s="522"/>
      <c r="AA88" s="522"/>
      <c r="AB88" s="522"/>
    </row>
    <row r="89" spans="1:28" ht="60" x14ac:dyDescent="0.25">
      <c r="A89" s="646" t="s">
        <v>587</v>
      </c>
      <c r="B89" s="7">
        <f>IF(  AND(ISNUMBER(C89),OR(ISNUMBER(D89),D89="PG")),IF(IF(Capa!$B$6="B",0,Capa!$B$6)&gt;=C89,1,0),"")</f>
        <v>1</v>
      </c>
      <c r="C89" s="6">
        <f t="shared" si="9"/>
        <v>0</v>
      </c>
      <c r="D89" s="647">
        <v>376</v>
      </c>
      <c r="E89" s="352" t="s">
        <v>592</v>
      </c>
      <c r="F89" s="513"/>
      <c r="G89" s="468"/>
      <c r="H89" s="241"/>
      <c r="I89" s="29"/>
      <c r="J89" s="425">
        <f t="shared" si="10"/>
        <v>0</v>
      </c>
      <c r="K89" s="471"/>
      <c r="L89" s="697" t="str">
        <f t="shared" si="11"/>
        <v/>
      </c>
      <c r="M89" s="719"/>
      <c r="N89" s="720"/>
      <c r="O89" s="720"/>
      <c r="P89" s="720"/>
      <c r="Q89" s="720"/>
      <c r="R89" s="720"/>
      <c r="S89" s="720"/>
      <c r="T89" s="721"/>
      <c r="U89" s="71"/>
      <c r="V89" s="464"/>
      <c r="W89" s="476"/>
      <c r="X89" s="522"/>
      <c r="Y89" s="522"/>
      <c r="Z89" s="522"/>
      <c r="AA89" s="522"/>
      <c r="AB89" s="522"/>
    </row>
    <row r="90" spans="1:28" ht="45" x14ac:dyDescent="0.25">
      <c r="A90" s="646" t="s">
        <v>587</v>
      </c>
      <c r="B90" s="7">
        <f>IF(  AND(ISNUMBER(C90),OR(ISNUMBER(D90),D90="PG")),IF(IF(Capa!$B$6="B",0,Capa!$B$6)&gt;=C90,1,0),"")</f>
        <v>1</v>
      </c>
      <c r="C90" s="6">
        <f t="shared" si="9"/>
        <v>0</v>
      </c>
      <c r="D90" s="647">
        <v>377</v>
      </c>
      <c r="E90" s="352" t="s">
        <v>593</v>
      </c>
      <c r="F90" s="513"/>
      <c r="G90" s="468"/>
      <c r="H90" s="241"/>
      <c r="I90" s="29"/>
      <c r="J90" s="425">
        <f t="shared" si="10"/>
        <v>0</v>
      </c>
      <c r="K90" s="471"/>
      <c r="L90" s="697" t="str">
        <f t="shared" si="11"/>
        <v/>
      </c>
      <c r="M90" s="719"/>
      <c r="N90" s="720"/>
      <c r="O90" s="720"/>
      <c r="P90" s="720"/>
      <c r="Q90" s="720"/>
      <c r="R90" s="720"/>
      <c r="S90" s="720"/>
      <c r="T90" s="721"/>
      <c r="U90" s="71"/>
      <c r="V90" s="464"/>
      <c r="W90" s="476"/>
      <c r="X90" s="522"/>
      <c r="Y90" s="522"/>
      <c r="Z90" s="522"/>
      <c r="AA90" s="522"/>
      <c r="AB90" s="522"/>
    </row>
    <row r="91" spans="1:28" ht="8.4499999999999993" customHeight="1" x14ac:dyDescent="0.25">
      <c r="A91" s="646" t="s">
        <v>587</v>
      </c>
      <c r="B91" s="7" t="str">
        <f>IF(  AND(ISNUMBER(C91),OR(ISNUMBER(D91),D91="PG")),IF(IF(Capa!$B$6="B",0,Capa!$B$6)&gt;=C91,1,0),"")</f>
        <v/>
      </c>
      <c r="C91" s="6">
        <f t="shared" si="9"/>
        <v>1</v>
      </c>
      <c r="D91" s="647" t="s">
        <v>62</v>
      </c>
      <c r="E91" s="352"/>
      <c r="F91" s="513"/>
      <c r="G91" s="468"/>
      <c r="H91" s="241"/>
      <c r="I91" s="29"/>
      <c r="J91" s="425">
        <f t="shared" si="10"/>
        <v>0</v>
      </c>
      <c r="K91" s="471"/>
      <c r="L91" s="697" t="str">
        <f t="shared" si="11"/>
        <v/>
      </c>
      <c r="M91" s="719"/>
      <c r="N91" s="720"/>
      <c r="O91" s="720"/>
      <c r="P91" s="720"/>
      <c r="Q91" s="720"/>
      <c r="R91" s="720"/>
      <c r="S91" s="720"/>
      <c r="T91" s="721"/>
      <c r="U91" s="71"/>
      <c r="V91" s="464"/>
      <c r="W91" s="476"/>
      <c r="X91" s="522"/>
      <c r="Y91" s="522"/>
      <c r="Z91" s="522"/>
      <c r="AA91" s="522"/>
      <c r="AB91" s="522"/>
    </row>
    <row r="92" spans="1:28" ht="45" x14ac:dyDescent="0.25">
      <c r="A92" s="646" t="s">
        <v>587</v>
      </c>
      <c r="B92" s="7">
        <f>IF(  AND(ISNUMBER(C92),OR(ISNUMBER(D92),D92="PG")),IF(IF(Capa!$B$6="B",0,Capa!$B$6)&gt;=C92,1,0),"")</f>
        <v>0</v>
      </c>
      <c r="C92" s="6">
        <f t="shared" si="9"/>
        <v>1</v>
      </c>
      <c r="D92" s="647">
        <v>378</v>
      </c>
      <c r="E92" s="352" t="s">
        <v>594</v>
      </c>
      <c r="F92" s="513"/>
      <c r="G92" s="468"/>
      <c r="H92" s="241"/>
      <c r="I92" s="29"/>
      <c r="J92" s="425">
        <f t="shared" si="10"/>
        <v>0</v>
      </c>
      <c r="K92" s="471"/>
      <c r="L92" s="697" t="str">
        <f t="shared" si="11"/>
        <v/>
      </c>
      <c r="M92" s="719"/>
      <c r="N92" s="720"/>
      <c r="O92" s="720"/>
      <c r="P92" s="720"/>
      <c r="Q92" s="720"/>
      <c r="R92" s="720"/>
      <c r="S92" s="720"/>
      <c r="T92" s="721"/>
      <c r="U92" s="71"/>
      <c r="V92" s="464"/>
      <c r="W92" s="476"/>
      <c r="X92" s="522"/>
      <c r="Y92" s="522"/>
      <c r="Z92" s="522"/>
      <c r="AA92" s="522"/>
      <c r="AB92" s="522"/>
    </row>
    <row r="93" spans="1:28" ht="45" x14ac:dyDescent="0.25">
      <c r="A93" s="646" t="s">
        <v>587</v>
      </c>
      <c r="B93" s="7">
        <f>IF(  AND(ISNUMBER(C93),OR(ISNUMBER(D93),D93="PG")),IF(IF(Capa!$B$6="B",0,Capa!$B$6)&gt;=C93,1,0),"")</f>
        <v>0</v>
      </c>
      <c r="C93" s="6">
        <f t="shared" si="9"/>
        <v>1</v>
      </c>
      <c r="D93" s="647">
        <v>379</v>
      </c>
      <c r="E93" s="352" t="s">
        <v>595</v>
      </c>
      <c r="F93" s="513"/>
      <c r="G93" s="468"/>
      <c r="H93" s="241"/>
      <c r="I93" s="29"/>
      <c r="J93" s="425">
        <f t="shared" si="10"/>
        <v>0</v>
      </c>
      <c r="K93" s="471"/>
      <c r="L93" s="697" t="str">
        <f t="shared" si="11"/>
        <v/>
      </c>
      <c r="M93" s="719"/>
      <c r="N93" s="720"/>
      <c r="O93" s="720"/>
      <c r="P93" s="720"/>
      <c r="Q93" s="720"/>
      <c r="R93" s="720"/>
      <c r="S93" s="720"/>
      <c r="T93" s="721"/>
      <c r="U93" s="71"/>
      <c r="V93" s="464"/>
      <c r="W93" s="476"/>
      <c r="X93" s="522"/>
      <c r="Y93" s="522"/>
      <c r="Z93" s="522"/>
      <c r="AA93" s="522"/>
      <c r="AB93" s="522"/>
    </row>
    <row r="94" spans="1:28" ht="87.6" customHeight="1" x14ac:dyDescent="0.25">
      <c r="A94" s="646" t="s">
        <v>587</v>
      </c>
      <c r="B94" s="7">
        <f>IF(  AND(ISNUMBER(C94),OR(ISNUMBER(D94),D94="PG")),IF(IF(Capa!$B$6="B",0,Capa!$B$6)&gt;=C94,1,0),"")</f>
        <v>0</v>
      </c>
      <c r="C94" s="6">
        <f t="shared" si="9"/>
        <v>1</v>
      </c>
      <c r="D94" s="647">
        <v>380</v>
      </c>
      <c r="E94" s="352" t="s">
        <v>596</v>
      </c>
      <c r="F94" s="513"/>
      <c r="G94" s="468"/>
      <c r="H94" s="241"/>
      <c r="I94" s="29"/>
      <c r="J94" s="425">
        <f t="shared" si="10"/>
        <v>0</v>
      </c>
      <c r="K94" s="471"/>
      <c r="L94" s="697" t="str">
        <f t="shared" si="11"/>
        <v/>
      </c>
      <c r="M94" s="719"/>
      <c r="N94" s="720"/>
      <c r="O94" s="720"/>
      <c r="P94" s="720"/>
      <c r="Q94" s="720"/>
      <c r="R94" s="720"/>
      <c r="S94" s="720"/>
      <c r="T94" s="721"/>
      <c r="U94" s="71"/>
      <c r="V94" s="464"/>
      <c r="W94" s="476"/>
      <c r="X94" s="522"/>
      <c r="Y94" s="522"/>
      <c r="Z94" s="522"/>
      <c r="AA94" s="522"/>
      <c r="AB94" s="522"/>
    </row>
    <row r="95" spans="1:28" ht="45" x14ac:dyDescent="0.25">
      <c r="A95" s="646" t="s">
        <v>587</v>
      </c>
      <c r="B95" s="7">
        <f>IF(  AND(ISNUMBER(C95),OR(ISNUMBER(D95),D95="PG")),IF(IF(Capa!$B$6="B",0,Capa!$B$6)&gt;=C95,1,0),"")</f>
        <v>0</v>
      </c>
      <c r="C95" s="6">
        <f t="shared" si="9"/>
        <v>1</v>
      </c>
      <c r="D95" s="647">
        <v>381</v>
      </c>
      <c r="E95" s="352" t="s">
        <v>597</v>
      </c>
      <c r="F95" s="513"/>
      <c r="G95" s="468"/>
      <c r="H95" s="241"/>
      <c r="I95" s="29"/>
      <c r="J95" s="425">
        <f t="shared" si="10"/>
        <v>0</v>
      </c>
      <c r="K95" s="471"/>
      <c r="L95" s="697" t="str">
        <f t="shared" si="11"/>
        <v/>
      </c>
      <c r="M95" s="719"/>
      <c r="N95" s="720"/>
      <c r="O95" s="720"/>
      <c r="P95" s="720"/>
      <c r="Q95" s="720"/>
      <c r="R95" s="720"/>
      <c r="S95" s="720"/>
      <c r="T95" s="721"/>
      <c r="U95" s="71"/>
      <c r="V95" s="464"/>
      <c r="W95" s="476"/>
      <c r="X95" s="522"/>
      <c r="Y95" s="522"/>
      <c r="Z95" s="522"/>
      <c r="AA95" s="522"/>
      <c r="AB95" s="522"/>
    </row>
    <row r="96" spans="1:28" ht="7.35" customHeight="1" x14ac:dyDescent="0.25">
      <c r="A96" s="646" t="s">
        <v>587</v>
      </c>
      <c r="B96" s="7" t="str">
        <f>IF(  AND(ISNUMBER(C96),OR(ISNUMBER(D96),D96="PG")),IF(IF(Capa!$B$6="B",0,Capa!$B$6)&gt;=C96,1,0),"")</f>
        <v/>
      </c>
      <c r="C96" s="6">
        <f t="shared" si="9"/>
        <v>2</v>
      </c>
      <c r="D96" s="647" t="s">
        <v>64</v>
      </c>
      <c r="E96" s="405"/>
      <c r="F96" s="513"/>
      <c r="G96" s="468"/>
      <c r="H96" s="241"/>
      <c r="I96" s="29"/>
      <c r="J96" s="425">
        <f t="shared" si="10"/>
        <v>0</v>
      </c>
      <c r="K96" s="471"/>
      <c r="L96" s="697" t="str">
        <f t="shared" si="11"/>
        <v/>
      </c>
      <c r="M96" s="719"/>
      <c r="N96" s="720"/>
      <c r="O96" s="720"/>
      <c r="P96" s="720"/>
      <c r="Q96" s="720"/>
      <c r="R96" s="720"/>
      <c r="S96" s="720"/>
      <c r="T96" s="721"/>
      <c r="U96" s="71"/>
      <c r="V96" s="464"/>
      <c r="W96" s="476"/>
      <c r="X96" s="522"/>
      <c r="Y96" s="522"/>
      <c r="Z96" s="522"/>
      <c r="AA96" s="522"/>
      <c r="AB96" s="522"/>
    </row>
    <row r="97" spans="1:28" ht="75" x14ac:dyDescent="0.25">
      <c r="A97" s="646" t="s">
        <v>587</v>
      </c>
      <c r="B97" s="7">
        <f>IF(  AND(ISNUMBER(C97),OR(ISNUMBER(D97),D97="PG")),IF(IF(Capa!$B$6="B",0,Capa!$B$6)&gt;=C97,1,0),"")</f>
        <v>0</v>
      </c>
      <c r="C97" s="6">
        <f t="shared" si="9"/>
        <v>2</v>
      </c>
      <c r="D97" s="647">
        <v>382</v>
      </c>
      <c r="E97" s="352" t="s">
        <v>598</v>
      </c>
      <c r="F97" s="513"/>
      <c r="G97" s="468"/>
      <c r="H97" s="241"/>
      <c r="I97" s="29"/>
      <c r="J97" s="425">
        <f t="shared" si="10"/>
        <v>0</v>
      </c>
      <c r="K97" s="471"/>
      <c r="L97" s="697" t="str">
        <f t="shared" si="11"/>
        <v/>
      </c>
      <c r="M97" s="719"/>
      <c r="N97" s="720"/>
      <c r="O97" s="720"/>
      <c r="P97" s="720"/>
      <c r="Q97" s="720"/>
      <c r="R97" s="720"/>
      <c r="S97" s="720"/>
      <c r="T97" s="721"/>
      <c r="U97" s="71"/>
      <c r="V97" s="464"/>
      <c r="W97" s="476"/>
      <c r="X97" s="522"/>
      <c r="Y97" s="522"/>
      <c r="Z97" s="522"/>
      <c r="AA97" s="522"/>
      <c r="AB97" s="522"/>
    </row>
    <row r="98" spans="1:28" ht="46.7" customHeight="1" x14ac:dyDescent="0.25">
      <c r="A98" s="646" t="s">
        <v>587</v>
      </c>
      <c r="B98" s="7">
        <f>IF(  AND(ISNUMBER(C98),OR(ISNUMBER(D98),D98="PG")),IF(IF(Capa!$B$6="B",0,Capa!$B$6)&gt;=C98,1,0),"")</f>
        <v>0</v>
      </c>
      <c r="C98" s="6">
        <f t="shared" si="9"/>
        <v>2</v>
      </c>
      <c r="D98" s="647">
        <v>383</v>
      </c>
      <c r="E98" s="352" t="s">
        <v>599</v>
      </c>
      <c r="F98" s="513"/>
      <c r="G98" s="468"/>
      <c r="H98" s="241"/>
      <c r="I98" s="29"/>
      <c r="J98" s="425">
        <f t="shared" si="10"/>
        <v>0</v>
      </c>
      <c r="K98" s="471"/>
      <c r="L98" s="697" t="str">
        <f t="shared" si="11"/>
        <v/>
      </c>
      <c r="M98" s="719"/>
      <c r="N98" s="720"/>
      <c r="O98" s="720"/>
      <c r="P98" s="720"/>
      <c r="Q98" s="720"/>
      <c r="R98" s="720"/>
      <c r="S98" s="720"/>
      <c r="T98" s="721"/>
      <c r="U98" s="71"/>
      <c r="V98" s="464"/>
      <c r="W98" s="476"/>
      <c r="X98" s="522"/>
      <c r="Y98" s="522"/>
      <c r="Z98" s="522"/>
      <c r="AA98" s="522"/>
      <c r="AB98" s="522"/>
    </row>
    <row r="99" spans="1:28" ht="30" x14ac:dyDescent="0.25">
      <c r="A99" s="646" t="s">
        <v>587</v>
      </c>
      <c r="B99" s="7">
        <f>IF(  AND(ISNUMBER(C99),OR(ISNUMBER(D99),D99="PG")),IF(IF(Capa!$B$6="B",0,Capa!$B$6)&gt;=C99,1,0),"")</f>
        <v>0</v>
      </c>
      <c r="C99" s="6">
        <f t="shared" si="9"/>
        <v>2</v>
      </c>
      <c r="D99" s="647">
        <v>384</v>
      </c>
      <c r="E99" s="352" t="s">
        <v>600</v>
      </c>
      <c r="F99" s="513"/>
      <c r="G99" s="468"/>
      <c r="H99" s="241"/>
      <c r="I99" s="29"/>
      <c r="J99" s="425">
        <f t="shared" si="10"/>
        <v>0</v>
      </c>
      <c r="K99" s="471"/>
      <c r="L99" s="697" t="str">
        <f t="shared" si="11"/>
        <v/>
      </c>
      <c r="M99" s="719"/>
      <c r="N99" s="720"/>
      <c r="O99" s="720"/>
      <c r="P99" s="720"/>
      <c r="Q99" s="720"/>
      <c r="R99" s="720"/>
      <c r="S99" s="720"/>
      <c r="T99" s="721"/>
      <c r="U99" s="71"/>
      <c r="V99" s="464"/>
      <c r="W99" s="476"/>
      <c r="X99" s="522"/>
      <c r="Y99" s="522"/>
      <c r="Z99" s="522"/>
      <c r="AA99" s="522"/>
      <c r="AB99" s="522"/>
    </row>
    <row r="100" spans="1:28" ht="30" x14ac:dyDescent="0.25">
      <c r="A100" s="646" t="s">
        <v>587</v>
      </c>
      <c r="B100" s="7">
        <f>IF(  AND(ISNUMBER(C100),OR(ISNUMBER(D100),D100="PG")),IF(IF(Capa!$B$6="B",0,Capa!$B$6)&gt;=C100,1,0),"")</f>
        <v>0</v>
      </c>
      <c r="C100" s="6">
        <f t="shared" si="9"/>
        <v>2</v>
      </c>
      <c r="D100" s="647">
        <v>385</v>
      </c>
      <c r="E100" s="352" t="s">
        <v>601</v>
      </c>
      <c r="F100" s="513"/>
      <c r="G100" s="468"/>
      <c r="H100" s="241"/>
      <c r="I100" s="29"/>
      <c r="J100" s="425">
        <f t="shared" si="10"/>
        <v>0</v>
      </c>
      <c r="K100" s="471"/>
      <c r="L100" s="697" t="str">
        <f t="shared" si="11"/>
        <v/>
      </c>
      <c r="M100" s="719"/>
      <c r="N100" s="720"/>
      <c r="O100" s="720"/>
      <c r="P100" s="720"/>
      <c r="Q100" s="720"/>
      <c r="R100" s="720"/>
      <c r="S100" s="720"/>
      <c r="T100" s="721"/>
      <c r="U100" s="71"/>
      <c r="V100" s="464"/>
      <c r="W100" s="476"/>
      <c r="X100" s="522"/>
      <c r="Y100" s="522"/>
      <c r="Z100" s="522"/>
      <c r="AA100" s="522"/>
      <c r="AB100" s="522"/>
    </row>
    <row r="101" spans="1:28" ht="45" x14ac:dyDescent="0.25">
      <c r="A101" s="646" t="s">
        <v>587</v>
      </c>
      <c r="B101" s="7">
        <f>IF(  AND(ISNUMBER(C101),OR(ISNUMBER(D101),D101="PG")),IF(IF(Capa!$B$6="B",0,Capa!$B$6)&gt;=C101,1,0),"")</f>
        <v>0</v>
      </c>
      <c r="C101" s="6">
        <f t="shared" si="9"/>
        <v>2</v>
      </c>
      <c r="D101" s="647">
        <v>386</v>
      </c>
      <c r="E101" s="411" t="s">
        <v>602</v>
      </c>
      <c r="F101" s="513"/>
      <c r="G101" s="468"/>
      <c r="H101" s="241"/>
      <c r="I101" s="29"/>
      <c r="J101" s="425">
        <f t="shared" si="10"/>
        <v>0</v>
      </c>
      <c r="K101" s="471"/>
      <c r="L101" s="697" t="str">
        <f t="shared" si="11"/>
        <v/>
      </c>
      <c r="M101" s="719"/>
      <c r="N101" s="720"/>
      <c r="O101" s="720"/>
      <c r="P101" s="720"/>
      <c r="Q101" s="720"/>
      <c r="R101" s="720"/>
      <c r="S101" s="720"/>
      <c r="T101" s="721"/>
      <c r="U101" s="71"/>
      <c r="V101" s="464"/>
      <c r="W101" s="476"/>
      <c r="X101" s="522"/>
      <c r="Y101" s="522"/>
      <c r="Z101" s="522"/>
      <c r="AA101" s="522"/>
      <c r="AB101" s="522"/>
    </row>
    <row r="102" spans="1:28" ht="7.7" customHeight="1" x14ac:dyDescent="0.25">
      <c r="A102" s="646" t="s">
        <v>587</v>
      </c>
      <c r="B102" s="7" t="str">
        <f>IF(  AND(ISNUMBER(C102),OR(ISNUMBER(D102),D102="PG")),IF(IF(Capa!$B$6="B",0,Capa!$B$6)&gt;=C102,1,0),"")</f>
        <v/>
      </c>
      <c r="C102" s="6">
        <f t="shared" si="9"/>
        <v>3</v>
      </c>
      <c r="D102" s="647" t="s">
        <v>70</v>
      </c>
      <c r="E102" s="405"/>
      <c r="F102" s="513"/>
      <c r="G102" s="468"/>
      <c r="H102" s="241"/>
      <c r="I102" s="29"/>
      <c r="J102" s="425">
        <f t="shared" si="10"/>
        <v>0</v>
      </c>
      <c r="K102" s="471"/>
      <c r="L102" s="697" t="str">
        <f t="shared" si="11"/>
        <v/>
      </c>
      <c r="M102" s="719"/>
      <c r="N102" s="720"/>
      <c r="O102" s="720"/>
      <c r="P102" s="720"/>
      <c r="Q102" s="720"/>
      <c r="R102" s="720"/>
      <c r="S102" s="720"/>
      <c r="T102" s="721"/>
      <c r="U102" s="71"/>
      <c r="V102" s="464"/>
      <c r="W102" s="476"/>
      <c r="X102" s="522"/>
      <c r="Y102" s="522"/>
      <c r="Z102" s="522"/>
      <c r="AA102" s="522"/>
      <c r="AB102" s="522"/>
    </row>
    <row r="103" spans="1:28" ht="75" x14ac:dyDescent="0.25">
      <c r="A103" s="646" t="s">
        <v>587</v>
      </c>
      <c r="B103" s="7">
        <f>IF(  AND(ISNUMBER(C103),OR(ISNUMBER(D103),D103="PG")),IF(IF(Capa!$B$6="B",0,Capa!$B$6)&gt;=C103,1,0),"")</f>
        <v>0</v>
      </c>
      <c r="C103" s="6">
        <f t="shared" si="9"/>
        <v>3</v>
      </c>
      <c r="D103" s="647">
        <v>387</v>
      </c>
      <c r="E103" s="352" t="s">
        <v>603</v>
      </c>
      <c r="F103" s="513"/>
      <c r="G103" s="468"/>
      <c r="H103" s="241"/>
      <c r="I103" s="29"/>
      <c r="J103" s="425">
        <f t="shared" si="10"/>
        <v>0</v>
      </c>
      <c r="K103" s="471"/>
      <c r="L103" s="697" t="str">
        <f t="shared" si="11"/>
        <v/>
      </c>
      <c r="M103" s="719"/>
      <c r="N103" s="720"/>
      <c r="O103" s="720"/>
      <c r="P103" s="720"/>
      <c r="Q103" s="720"/>
      <c r="R103" s="720"/>
      <c r="S103" s="720"/>
      <c r="T103" s="721"/>
      <c r="U103" s="71"/>
      <c r="V103" s="464"/>
      <c r="W103" s="476"/>
      <c r="X103" s="522"/>
      <c r="Y103" s="522"/>
      <c r="Z103" s="522"/>
      <c r="AA103" s="522"/>
      <c r="AB103" s="522"/>
    </row>
    <row r="104" spans="1:28" ht="45" x14ac:dyDescent="0.25">
      <c r="A104" s="646" t="s">
        <v>587</v>
      </c>
      <c r="B104" s="7">
        <f>IF(  AND(ISNUMBER(C104),OR(ISNUMBER(D104),D104="PG")),IF(IF(Capa!$B$6="B",0,Capa!$B$6)&gt;=C104,1,0),"")</f>
        <v>0</v>
      </c>
      <c r="C104" s="6">
        <f t="shared" si="9"/>
        <v>3</v>
      </c>
      <c r="D104" s="647">
        <v>388</v>
      </c>
      <c r="E104" s="352" t="s">
        <v>604</v>
      </c>
      <c r="F104" s="513"/>
      <c r="G104" s="468"/>
      <c r="H104" s="241"/>
      <c r="I104" s="29"/>
      <c r="J104" s="425">
        <f t="shared" si="10"/>
        <v>0</v>
      </c>
      <c r="K104" s="471"/>
      <c r="L104" s="697" t="str">
        <f t="shared" si="11"/>
        <v/>
      </c>
      <c r="M104" s="719"/>
      <c r="N104" s="720"/>
      <c r="O104" s="720"/>
      <c r="P104" s="720"/>
      <c r="Q104" s="720"/>
      <c r="R104" s="720"/>
      <c r="S104" s="720"/>
      <c r="T104" s="721"/>
      <c r="U104" s="71"/>
      <c r="V104" s="464"/>
      <c r="W104" s="476"/>
      <c r="X104" s="522"/>
      <c r="Y104" s="522"/>
      <c r="Z104" s="522"/>
      <c r="AA104" s="522"/>
      <c r="AB104" s="522"/>
    </row>
    <row r="105" spans="1:28" ht="30" x14ac:dyDescent="0.25">
      <c r="A105" s="646" t="s">
        <v>587</v>
      </c>
      <c r="B105" s="7">
        <f>IF(  AND(ISNUMBER(C105),OR(ISNUMBER(D105),D105="PG")),IF(IF(Capa!$B$6="B",0,Capa!$B$6)&gt;=C105,1,0),"")</f>
        <v>0</v>
      </c>
      <c r="C105" s="6">
        <f t="shared" si="9"/>
        <v>3</v>
      </c>
      <c r="D105" s="647">
        <v>389</v>
      </c>
      <c r="E105" s="352" t="s">
        <v>605</v>
      </c>
      <c r="F105" s="513"/>
      <c r="G105" s="468"/>
      <c r="H105" s="241"/>
      <c r="I105" s="29"/>
      <c r="J105" s="425">
        <f t="shared" si="10"/>
        <v>0</v>
      </c>
      <c r="K105" s="471"/>
      <c r="L105" s="697" t="str">
        <f t="shared" si="11"/>
        <v/>
      </c>
      <c r="M105" s="719"/>
      <c r="N105" s="720"/>
      <c r="O105" s="720"/>
      <c r="P105" s="720"/>
      <c r="Q105" s="720"/>
      <c r="R105" s="720"/>
      <c r="S105" s="720"/>
      <c r="T105" s="721"/>
      <c r="U105" s="71"/>
      <c r="V105" s="464"/>
      <c r="W105" s="476"/>
      <c r="X105" s="522"/>
      <c r="Y105" s="522"/>
      <c r="Z105" s="522"/>
      <c r="AA105" s="522"/>
      <c r="AB105" s="522"/>
    </row>
    <row r="106" spans="1:28" ht="30" x14ac:dyDescent="0.25">
      <c r="A106" s="646" t="s">
        <v>587</v>
      </c>
      <c r="B106" s="7">
        <f>IF(  AND(ISNUMBER(C106),OR(ISNUMBER(D106),D106="PG")),IF(IF(Capa!$B$6="B",0,Capa!$B$6)&gt;=C106,1,0),"")</f>
        <v>0</v>
      </c>
      <c r="C106" s="6">
        <f t="shared" si="9"/>
        <v>3</v>
      </c>
      <c r="D106" s="647">
        <v>390</v>
      </c>
      <c r="E106" s="412" t="s">
        <v>606</v>
      </c>
      <c r="F106" s="513"/>
      <c r="G106" s="468"/>
      <c r="H106" s="241"/>
      <c r="I106" s="29"/>
      <c r="J106" s="425">
        <f t="shared" si="10"/>
        <v>0</v>
      </c>
      <c r="K106" s="471"/>
      <c r="L106" s="697" t="str">
        <f t="shared" si="11"/>
        <v/>
      </c>
      <c r="M106" s="719"/>
      <c r="N106" s="720"/>
      <c r="O106" s="720"/>
      <c r="P106" s="720"/>
      <c r="Q106" s="720"/>
      <c r="R106" s="720"/>
      <c r="S106" s="720"/>
      <c r="T106" s="721"/>
      <c r="U106" s="71"/>
      <c r="V106" s="464"/>
      <c r="W106" s="477"/>
      <c r="X106" s="522"/>
      <c r="Y106" s="522"/>
      <c r="Z106" s="522"/>
      <c r="AA106" s="522"/>
      <c r="AB106" s="522"/>
    </row>
    <row r="107" spans="1:28" ht="8.1" customHeight="1" x14ac:dyDescent="0.25">
      <c r="B107" s="7" t="str">
        <f>IF(  AND(ISNUMBER(C107),OR(ISNUMBER(D107),D107="PG")),IF(IF(Capa!$B$6="B",0,Capa!$B$6)&gt;=C107,1,0),"")</f>
        <v/>
      </c>
      <c r="C107" s="6" t="str">
        <f t="shared" si="9"/>
        <v/>
      </c>
      <c r="D107" s="122"/>
      <c r="E107" s="291"/>
      <c r="F107" s="123"/>
      <c r="G107" s="227"/>
      <c r="H107" s="227"/>
      <c r="I107" s="123"/>
      <c r="J107" s="227"/>
      <c r="K107" s="694"/>
      <c r="L107" s="219"/>
      <c r="M107" s="124"/>
      <c r="N107" s="124"/>
      <c r="O107" s="124"/>
      <c r="P107" s="124"/>
      <c r="Q107" s="124"/>
      <c r="R107" s="124"/>
      <c r="S107" s="251"/>
      <c r="T107" s="251"/>
      <c r="U107" s="260"/>
      <c r="V107" s="547"/>
      <c r="W107" s="125"/>
      <c r="X107" s="522"/>
      <c r="Y107" s="522"/>
      <c r="Z107" s="522"/>
      <c r="AA107" s="522"/>
      <c r="AB107" s="522"/>
    </row>
    <row r="108" spans="1:28" x14ac:dyDescent="0.25">
      <c r="A108" s="210" t="s">
        <v>607</v>
      </c>
      <c r="B108" s="7" t="str">
        <f>IF(  AND(ISNUMBER(C108),OR(ISNUMBER(D108),D108="PG")),IF(IF(Capa!$B$6="B",0,Capa!$B$6)&gt;=C108,1,0),"")</f>
        <v/>
      </c>
      <c r="C108" s="6" t="str">
        <f t="shared" si="9"/>
        <v/>
      </c>
      <c r="D108" s="15"/>
      <c r="E108" s="395" t="s">
        <v>608</v>
      </c>
      <c r="F108" s="381">
        <f>IF(COUNTIFS($A$1:$A$230,"="&amp;A108&amp;"?",$B$1:$B$230,"&gt;0",$D$1:$D$230,"&gt;0")&gt;0,(COUNTIFS($A$1:$A$230,"="&amp;A108&amp;"?",$B$1:$B$230,"&gt;0",$D$1:$D$230,"&gt;0",F$1:F$230,"=S")+COUNTIFS($A$1:$A$230,"="&amp;A108&amp;"?",$B$1:$B$230,"&gt;0",$D$1:$D$230,"&gt;0",$F$1:$F$230,"=P")+COUNTIFS($A$1:$A$230,"="&amp;A108&amp;"?",$B$1:$B$230,"&gt;0",$D$1:$D$230,"&gt;0",F$1:F$230,"=N")+COUNTIFS($A$1:$A$230,"="&amp;A108&amp;"?",$B$1:$B$230,"&gt;0",$D$1:$D$230,"&gt;0",F$1:F$230,"=NA"))/COUNTIFS($A$1:$A$230,"="&amp;A108&amp;"?",$B$1:$B$230,"&gt;0",$D$1:$D$230,"&gt;0"),0)</f>
        <v>0</v>
      </c>
      <c r="G108" s="469"/>
      <c r="H108" s="232"/>
      <c r="I108" s="381">
        <f>IF(COUNTIFS($A$1:$A$230,"="&amp;A108&amp;"?",$B$1:$B$230,"&gt;0",$D$1:$D$230,"&gt;0")&gt;0,
        (COUNTIFS($A$1:$A$230,"="&amp;A108&amp;"?",$B$1:$B$230,"&gt;0",$D$1:$D$230,"&gt;0",F$1:F$230,"=S",I$1:I$230,"") +
         (COUNTIFS($A$1:$A$230,"="&amp;A108&amp;"?",$B$1:$B$230,"&gt;0",$D$1:$D$230,"&gt;0",$F$1:$F$230,"=P",I$1:I$230,"")/2) +
         COUNTIFS($A$1:$A$230,"="&amp;A108&amp;"?",$B$1:$B$230,"&gt;0",$D$1:$D$230,"&gt;0",I$1:I$230,"=S") +
         (COUNTIFS($A$1:$A$230,"="&amp;A108&amp;"?",$B$1:$B$230,"&gt;0",$D$1:$D$230,"&gt;0",I$1:I$230,"=P")/2)
         )/COUNTIFS($A$1:$A$230,"="&amp;A108&amp;"?",$B$1:$B$230,"&gt;0",$D$1:$D$230,"&gt;0"),0)</f>
        <v>0</v>
      </c>
      <c r="J108" s="219"/>
      <c r="K108" s="504"/>
      <c r="L108" s="219"/>
      <c r="M108" s="722">
        <f>(M109*20+N109*10+O109*10+Q109*30+R109*15+S109*15)/100</f>
        <v>0</v>
      </c>
      <c r="N108" s="723"/>
      <c r="O108" s="723"/>
      <c r="P108" s="723"/>
      <c r="Q108" s="723"/>
      <c r="R108" s="723"/>
      <c r="S108" s="723"/>
      <c r="T108" s="724"/>
      <c r="U108" s="451"/>
      <c r="V108" s="545"/>
      <c r="W108" s="66"/>
      <c r="X108" s="579"/>
      <c r="Y108" s="579"/>
      <c r="Z108" s="579"/>
      <c r="AA108" s="579"/>
      <c r="AB108" s="579"/>
    </row>
    <row r="109" spans="1:28" ht="13.7" customHeight="1" x14ac:dyDescent="0.25">
      <c r="A109" s="210" t="s">
        <v>607</v>
      </c>
      <c r="B109" s="7" t="str">
        <f>IF(  AND(ISNUMBER(C109),OR(ISNUMBER(D109),D109="PG")),IF(IF(Capa!$B$6="B",0,Capa!$B$6)&gt;=C109,1,0),"")</f>
        <v/>
      </c>
      <c r="C109" s="6" t="str">
        <f t="shared" si="9"/>
        <v/>
      </c>
      <c r="D109" s="132"/>
      <c r="E109" s="393">
        <f>IF(SUMIFS($B$1:$B$230,$A$1:$A$230,"="&amp;A108&amp;"?",B$1:B$230,"&gt;0")&lt;=0,0,COUNTIFS($F$1:$F$230,"*",$A$1:$A$230,"="&amp;A108&amp;"?",B$1:B$230,"&gt;0")/SUMIFS($B$1:$B$230,$A$1:$A$230,"="&amp;A108&amp;"?",B$1:B$230,"&gt;0"))</f>
        <v>0</v>
      </c>
      <c r="F109" s="26"/>
      <c r="G109" s="567"/>
      <c r="H109" s="239"/>
      <c r="I109" s="26"/>
      <c r="J109" s="239"/>
      <c r="K109" s="695"/>
      <c r="L109" s="240"/>
      <c r="M109" s="100">
        <f>(COUNTIFS($A$1:$A$230,"="&amp;$A108&amp;"?",$B$1:$B$230,"&gt;0",$D$1:$D$230,"=PG",M$1:M$230,"=1")*(IF(Capa!$B$6="B",100,IF(Capa!$B$6=1,50,IF(Capa!$B$6=2,33,25))))+COUNTIFS($A$1:$A$230,"="&amp;$A108&amp;"?",$B$1:$B$230,"&gt;0",$D$1:$D$230,"=PG",M$1:M$230,"=2")*(IF(Capa!$B$6="B",100,IF(Capa!$B$6=1,100,IF(Capa!$B$6=2,67,50))))+COUNTIFS($A$1:$A$230,"="&amp;$A108&amp;"?",$B$1:$B$230,"&gt;0",$D$1:$D$230,"=PG",M$1:M$230,"=3")*(IF(Capa!$B$6="B",100,IF(Capa!$B$6=1,100,IF(Capa!$B$6=2,100,75))))+COUNTIFS($A$1:$A$230,"="&amp;$A108&amp;"?",$B$1:$B$230,"&gt;0",$D$1:$D$230,"=PG",M$1:M$230,"=4")*100)/(COUNTIFS($A$1:$A$230,"="&amp;$A108&amp;"?",$B$1:$B$230,"&gt;0",$D$1:$D$230,"=PG")*100)</f>
        <v>0</v>
      </c>
      <c r="N109" s="100">
        <f>(COUNTIFS($A$1:$A$230,"="&amp;$A108&amp;"?",$B$1:$B$230,"&gt;0",$D$1:$D$230,"=PG",N$1:N$230,"=1")*(IF(Capa!$B$6="B",100,IF(Capa!$B$6=1,50,IF(Capa!$B$6=2,33,25))))+COUNTIFS($A$1:$A$230,"="&amp;$A108&amp;"?",$B$1:$B$230,"&gt;0",$D$1:$D$230,"=PG",N$1:N$230,"=2")*(IF(Capa!$B$6="B",100,IF(Capa!$B$6=1,100,IF(Capa!$B$6=2,67,50))))+COUNTIFS($A$1:$A$230,"="&amp;$A108&amp;"?",$B$1:$B$230,"&gt;0",$D$1:$D$230,"=PG",N$1:N$230,"=3")*(IF(Capa!$B$6="B",100,IF(Capa!$B$6=1,100,IF(Capa!$B$6=2,100,75))))+COUNTIFS($A$1:$A$230,"="&amp;$A108&amp;"?",$B$1:$B$230,"&gt;0",$D$1:$D$230,"=PG",N$1:N$230,"=4")*100)/(COUNTIFS($A$1:$A$230,"="&amp;$A108&amp;"?",$B$1:$B$230,"&gt;0",$D$1:$D$230,"=PG")*100)</f>
        <v>0</v>
      </c>
      <c r="O109" s="100">
        <f>(COUNTIFS($A$1:$A$230,"="&amp;$A108&amp;"?",$B$1:$B$230,"&gt;0",$D$1:$D$230,"=PG",O$1:O$230,"=1")*(IF(Capa!$B$6="B",100,IF(Capa!$B$6=1,50,IF(Capa!$B$6=2,33,25))))+COUNTIFS($A$1:$A$230,"="&amp;$A108&amp;"?",$B$1:$B$230,"&gt;0",$D$1:$D$230,"=PG",O$1:O$230,"=2")*(IF(Capa!$B$6="B",100,IF(Capa!$B$6=1,100,IF(Capa!$B$6=2,67,50))))+COUNTIFS($A$1:$A$230,"="&amp;$A108&amp;"?",$B$1:$B$230,"&gt;0",$D$1:$D$230,"=PG",O$1:O$230,"=3")*(IF(Capa!$B$6="B",100,IF(Capa!$B$6=1,100,IF(Capa!$B$6=2,100,75))))+COUNTIFS($A$1:$A$230,"="&amp;$A108&amp;"?",$B$1:$B$230,"&gt;0",$D$1:$D$230,"=PG",O$1:O$230,"=4")*100)/(COUNTIFS($A$1:$A$230,"="&amp;$A108&amp;"?",$B$1:$B$230,"&gt;0",$D$1:$D$230,"=PG")*100)</f>
        <v>0</v>
      </c>
      <c r="P109" s="414">
        <f>P112+P126+P140</f>
        <v>0</v>
      </c>
      <c r="Q109" s="100">
        <f>(COUNTIFS($A$1:$A$230,"="&amp;$A108&amp;"?",$B$1:$B$230,"",$L$1:$L$230,"&gt;=0",Q$1:Q$230,"=1")*(IF(Capa!$B$6="B",100,IF(Capa!$B$6=1,50,IF(Capa!$B$6=2,33,25))))+COUNTIFS($A$1:$A$230,"="&amp;$A108&amp;"?",$B$1:$B$230,"",$L$1:$L$230,"&gt;=0",Q$1:Q$230,"=2")*(IF(Capa!$B$6="B",100,IF(Capa!$B$6=1,100,IF(Capa!$B$6=2,67,50))))+COUNTIFS($A$1:$A$230,"="&amp;$A108&amp;"?",$B$1:$B$230,"",$L$1:$L$230,"&gt;=0",Q$1:Q$230,"=3")*(IF(Capa!$B$6="B",100,IF(Capa!$B$6=1,100,IF(Capa!$B$6=2,100,75))))+COUNTIFS($A$1:$A$230,"="&amp;$A108&amp;"?",$B$1:$B$230,"",$L$1:$L$230,"&gt;=0",Q$1:Q$230,"=4")*100)/(COUNTIFS($A$1:$A$230,"="&amp;$A108&amp;"?",$B$1:$B$230,"",$L$1:$L$230,"&gt;=0")*100)</f>
        <v>0</v>
      </c>
      <c r="R109" s="100">
        <f>(COUNTIFS($A$1:$A$230,"="&amp;$A108&amp;"?",$B$1:$B$230,"&gt;0",$D$1:$D$230,"=PG",R$1:R$230,"=1")*(IF(Capa!$B$6="B",100,IF(Capa!$B$6=1,50,IF(Capa!$B$6=2,33,25))))+COUNTIFS($A$1:$A$230,"="&amp;$A108&amp;"?",$B$1:$B$230,"&gt;0",$D$1:$D$230,"=PG",R$1:R$230,"=2")*(IF(Capa!$B$6="B",100,IF(Capa!$B$6=1,100,IF(Capa!$B$6=2,67,50))))+COUNTIFS($A$1:$A$230,"="&amp;$A108&amp;"?",$B$1:$B$230,"&gt;0",$D$1:$D$230,"=PG",R$1:R$230,"=3")*(IF(Capa!$B$6="B",100,IF(Capa!$B$6=1,100,IF(Capa!$B$6=2,100,75))))+COUNTIFS($A$1:$A$230,"="&amp;$A108&amp;"?",$B$1:$B$230,"&gt;0",$D$1:$D$230,"=PG",R$1:R$230,"=4")*100)/(COUNTIFS($A$1:$A$230,"="&amp;$A108&amp;"?",$B$1:$B$230,"&gt;0",$D$1:$D$230,"=PG")*100)</f>
        <v>0</v>
      </c>
      <c r="S109" s="100">
        <f>(COUNTIFS($A$1:$A$230,"="&amp;$A108&amp;"?",$B$1:$B$230,"&gt;0",$D$1:$D$230,"=PG",S$1:S$230,"=1")*(IF(Capa!$B$6="B",100,IF(Capa!$B$6=1,50,IF(Capa!$B$6=2,33,25))))+COUNTIFS($A$1:$A$230,"="&amp;$A108&amp;"?",$B$1:$B$230,"&gt;0",$D$1:$D$230,"=PG",S$1:S$230,"=2")*(IF(Capa!$B$6="B",100,IF(Capa!$B$6=1,100,IF(Capa!$B$6=2,67,50))))+COUNTIFS($A$1:$A$230,"="&amp;$A108&amp;"?",$B$1:$B$230,"&gt;0",$D$1:$D$230,"=PG",S$1:S$230,"=3")*(IF(Capa!$B$6="B",100,IF(Capa!$B$6=1,100,IF(Capa!$B$6=2,100,75))))+COUNTIFS($A$1:$A$230,"="&amp;$A108&amp;"?",$B$1:$B$230,"&gt;0",$D$1:$D$230,"=PG",S$1:S$230,"=4")*100)/(COUNTIFS($A$1:$A$230,"="&amp;$A108&amp;"?",$B$1:$B$230,"&gt;0",$D$1:$D$230,"=PG")*100)</f>
        <v>0</v>
      </c>
      <c r="T109" s="414">
        <f>T112+T126+T140</f>
        <v>0</v>
      </c>
      <c r="U109" s="100"/>
      <c r="V109" s="465"/>
      <c r="W109" s="478"/>
      <c r="X109" s="522"/>
      <c r="Y109" s="522"/>
      <c r="Z109" s="522"/>
      <c r="AA109" s="522"/>
      <c r="AB109" s="522"/>
    </row>
    <row r="110" spans="1:28" x14ac:dyDescent="0.25">
      <c r="A110" s="210" t="s">
        <v>609</v>
      </c>
      <c r="B110" s="7" t="str">
        <f>IF(  AND(ISNUMBER(C110),OR(ISNUMBER(D110),D110="PG")),IF(IF(Capa!$B$6="B",0,Capa!$B$6)&gt;=C110,1,0),"")</f>
        <v/>
      </c>
      <c r="C110" s="6" t="str">
        <f t="shared" si="9"/>
        <v/>
      </c>
      <c r="D110" s="15"/>
      <c r="E110" s="395" t="s">
        <v>610</v>
      </c>
      <c r="F110" s="23"/>
      <c r="G110" s="470"/>
      <c r="H110" s="219"/>
      <c r="I110" s="23"/>
      <c r="J110" s="219"/>
      <c r="K110" s="504"/>
      <c r="L110" s="383">
        <f>IF(AND($B112=1,D112="PG"),IF(COUNTIFS($A$1:$A$230,"="&amp;$A110,$B$1:$B$230,"&gt;0",$D$1:$D$230,"&gt;0")&gt;0,
        (COUNTIFS($A$1:$A$230,"="&amp;$A110,$B$1:$B$230,"&gt;0",$D$1:$D$230,"&gt;0",F$1:F$230,"=S",I$1:I$230,"") +
         (COUNTIFS($A$1:$A$230,"="&amp;$A110,$B$1:$B$230,"&gt;0",$D$1:$D$230,"&gt;0",$F$1:$F$230,"=P",I$1:I$230,"")/2) +
         COUNTIFS($A$1:$A$230,"="&amp;$A110,$B$1:$B$230,"&gt;0",$D$1:$D$230,"&gt;0",I$1:I$230,"=S") +
         (COUNTIFS($A$1:$A$230,"="&amp;$A110,$B$1:$B$230,"&gt;0",$D$1:$D$230,"&gt;0",I$1:I$230,"=P")/2)
         )/COUNTIFS($A$1:$A$230,"="&amp;$A110,$B$1:$B$230,"&gt;0",$D$1:$D$230,"&gt;0"),1),"")</f>
        <v>0</v>
      </c>
      <c r="M110" s="380"/>
      <c r="N110" s="70"/>
      <c r="O110" s="68"/>
      <c r="P110" s="68"/>
      <c r="Q110" s="83">
        <f>IF(L110="","",MIN(IF(ISBLANK(Q112),0,Q112),IF(L110&gt;0.9,4,IF(L110&gt;0.5,3,IF(L110&gt;0.3,2,IF(OR(L110&gt;0,Q112&gt;0),1,0))))))</f>
        <v>0</v>
      </c>
      <c r="R110" s="70"/>
      <c r="S110" s="260"/>
      <c r="T110" s="260"/>
      <c r="U110" s="260"/>
      <c r="V110" s="545"/>
      <c r="W110" s="66"/>
      <c r="X110" s="579"/>
      <c r="Y110" s="579"/>
      <c r="Z110" s="579"/>
      <c r="AA110" s="579"/>
      <c r="AB110" s="579"/>
    </row>
    <row r="111" spans="1:28" ht="7.35" customHeight="1" x14ac:dyDescent="0.25">
      <c r="A111" s="210" t="s">
        <v>609</v>
      </c>
      <c r="B111" s="7" t="str">
        <f>IF(  AND(ISNUMBER(C111),OR(ISNUMBER(D111),D111="PG")),IF(IF(Capa!$B$6="B",0,Capa!$B$6)&gt;=C111,1,0),"")</f>
        <v/>
      </c>
      <c r="C111" s="6">
        <f t="shared" si="9"/>
        <v>0</v>
      </c>
      <c r="D111" s="5" t="s">
        <v>53</v>
      </c>
      <c r="E111" s="391"/>
      <c r="F111" s="26"/>
      <c r="G111" s="567"/>
      <c r="H111" s="239"/>
      <c r="I111" s="26"/>
      <c r="J111" s="239"/>
      <c r="K111" s="695"/>
      <c r="L111" s="242"/>
      <c r="M111" s="59"/>
      <c r="N111" s="59"/>
      <c r="O111" s="59"/>
      <c r="P111" s="59"/>
      <c r="Q111" s="59"/>
      <c r="R111" s="59"/>
      <c r="S111" s="262"/>
      <c r="T111" s="262"/>
      <c r="U111" s="355"/>
      <c r="V111" s="465"/>
      <c r="W111" s="478"/>
      <c r="X111" s="522"/>
      <c r="Y111" s="522"/>
      <c r="Z111" s="522"/>
      <c r="AA111" s="522"/>
      <c r="AB111" s="522"/>
    </row>
    <row r="112" spans="1:28" ht="63.75" x14ac:dyDescent="0.25">
      <c r="A112" s="646" t="s">
        <v>609</v>
      </c>
      <c r="B112" s="7">
        <f>IF(  AND(ISNUMBER(C112),OR(ISNUMBER(D112),D112="PG")),IF(IF(Capa!$B$6="B",0,Capa!$B$6)&gt;=C112,1,0),"")</f>
        <v>1</v>
      </c>
      <c r="C112" s="6">
        <f t="shared" si="9"/>
        <v>0</v>
      </c>
      <c r="D112" s="647" t="s">
        <v>54</v>
      </c>
      <c r="E112" s="389" t="s">
        <v>611</v>
      </c>
      <c r="F112" s="513"/>
      <c r="G112" s="468"/>
      <c r="H112" s="241"/>
      <c r="I112" s="29"/>
      <c r="J112" s="239"/>
      <c r="K112" s="471"/>
      <c r="L112" s="697" t="str">
        <f>IF(OR(AND(NOT(ISBLANK(M112)),M112&lt;IF(Capa!$B$6&lt;&gt;"B",Capa!$B$6+1,1)),AND(NOT(ISBLANK(N112)),N112&lt;IF(Capa!$B$6&lt;&gt;"B",Capa!$B$6+1,1)),AND(NOT(ISBLANK(O112)),O112&lt;IF(Capa!$B$6&lt;&gt;"B",Capa!$B$6+1,1)),AND(NOT(ISBLANK(Q112)),Q112&lt;IF(Capa!$B$6&lt;&gt;"B",Capa!$B$6+1,1)),AND(NOT(ISBLANK(R112)),R112&lt;IF(Capa!$B$6&lt;&gt;"B",Capa!$B$6+1,1)),AND(NOT(ISBLANK(S112)),S112&lt;IF(Capa!$B$6&lt;&gt;"B",Capa!$B$6+1,1))),1,"")</f>
        <v/>
      </c>
      <c r="M112" s="81"/>
      <c r="N112" s="81"/>
      <c r="O112" s="81"/>
      <c r="P112" s="81"/>
      <c r="Q112" s="81"/>
      <c r="R112" s="81"/>
      <c r="S112" s="81"/>
      <c r="T112" s="81"/>
      <c r="U112" s="58"/>
      <c r="V112" s="464"/>
      <c r="W112" s="476"/>
      <c r="X112" s="666"/>
      <c r="Y112" s="522"/>
      <c r="Z112" s="522"/>
      <c r="AA112" s="522"/>
      <c r="AB112" s="522"/>
    </row>
    <row r="113" spans="1:28" ht="30" x14ac:dyDescent="0.25">
      <c r="A113" s="646" t="s">
        <v>609</v>
      </c>
      <c r="B113" s="7">
        <f>IF(  AND(ISNUMBER(C113),OR(ISNUMBER(D113),D113="PG")),IF(IF(Capa!$B$6="B",0,Capa!$B$6)&gt;=C113,1,0),"")</f>
        <v>1</v>
      </c>
      <c r="C113" s="6">
        <f t="shared" si="9"/>
        <v>0</v>
      </c>
      <c r="D113" s="647">
        <v>391</v>
      </c>
      <c r="E113" s="352" t="s">
        <v>612</v>
      </c>
      <c r="F113" s="513"/>
      <c r="G113" s="468"/>
      <c r="H113" s="241"/>
      <c r="I113" s="29"/>
      <c r="J113" s="425">
        <f t="shared" ref="J113:J122" si="12">LEN(K113)</f>
        <v>0</v>
      </c>
      <c r="K113" s="471"/>
      <c r="L113" s="697" t="str">
        <f t="shared" ref="L113:L122" si="13">IF(OR(I113="N",I113="P"),1,"")</f>
        <v/>
      </c>
      <c r="M113" s="719"/>
      <c r="N113" s="720"/>
      <c r="O113" s="720"/>
      <c r="P113" s="720"/>
      <c r="Q113" s="720"/>
      <c r="R113" s="720"/>
      <c r="S113" s="720"/>
      <c r="T113" s="721"/>
      <c r="U113" s="71"/>
      <c r="V113" s="464"/>
      <c r="W113" s="476"/>
      <c r="X113" s="522"/>
      <c r="Y113" s="522"/>
      <c r="Z113" s="522"/>
      <c r="AA113" s="522"/>
      <c r="AB113" s="522"/>
    </row>
    <row r="114" spans="1:28" ht="45" x14ac:dyDescent="0.25">
      <c r="A114" s="646" t="s">
        <v>609</v>
      </c>
      <c r="B114" s="7">
        <f>IF(  AND(ISNUMBER(C114),OR(ISNUMBER(D114),D114="PG")),IF(IF(Capa!$B$6="B",0,Capa!$B$6)&gt;=C114,1,0),"")</f>
        <v>1</v>
      </c>
      <c r="C114" s="6">
        <f t="shared" si="9"/>
        <v>0</v>
      </c>
      <c r="D114" s="647">
        <v>392</v>
      </c>
      <c r="E114" s="352" t="s">
        <v>613</v>
      </c>
      <c r="F114" s="513"/>
      <c r="G114" s="468"/>
      <c r="H114" s="241"/>
      <c r="I114" s="29"/>
      <c r="J114" s="425">
        <f t="shared" si="12"/>
        <v>0</v>
      </c>
      <c r="K114" s="471"/>
      <c r="L114" s="697" t="str">
        <f t="shared" si="13"/>
        <v/>
      </c>
      <c r="M114" s="719"/>
      <c r="N114" s="720"/>
      <c r="O114" s="720"/>
      <c r="P114" s="720"/>
      <c r="Q114" s="720"/>
      <c r="R114" s="720"/>
      <c r="S114" s="720"/>
      <c r="T114" s="721"/>
      <c r="U114" s="71"/>
      <c r="V114" s="464"/>
      <c r="W114" s="476"/>
      <c r="X114" s="666"/>
      <c r="Y114" s="522"/>
      <c r="Z114" s="522"/>
      <c r="AA114" s="522"/>
      <c r="AB114" s="522"/>
    </row>
    <row r="115" spans="1:28" ht="7.35" customHeight="1" x14ac:dyDescent="0.25">
      <c r="A115" s="646" t="s">
        <v>609</v>
      </c>
      <c r="B115" s="7" t="str">
        <f>IF(  AND(ISNUMBER(C115),OR(ISNUMBER(D115),D115="PG")),IF(IF(Capa!$B$6="B",0,Capa!$B$6)&gt;=C115,1,0),"")</f>
        <v/>
      </c>
      <c r="C115" s="6">
        <f t="shared" si="9"/>
        <v>1</v>
      </c>
      <c r="D115" s="647" t="s">
        <v>62</v>
      </c>
      <c r="E115" s="405"/>
      <c r="F115" s="513"/>
      <c r="G115" s="468"/>
      <c r="H115" s="241"/>
      <c r="I115" s="29"/>
      <c r="J115" s="425">
        <f t="shared" si="12"/>
        <v>0</v>
      </c>
      <c r="K115" s="471"/>
      <c r="L115" s="697" t="str">
        <f t="shared" si="13"/>
        <v/>
      </c>
      <c r="M115" s="719"/>
      <c r="N115" s="720"/>
      <c r="O115" s="720"/>
      <c r="P115" s="720"/>
      <c r="Q115" s="720"/>
      <c r="R115" s="720"/>
      <c r="S115" s="720"/>
      <c r="T115" s="721"/>
      <c r="U115" s="71"/>
      <c r="V115" s="464"/>
      <c r="W115" s="476"/>
      <c r="X115" s="522"/>
      <c r="Y115" s="522"/>
      <c r="Z115" s="522"/>
      <c r="AA115" s="522"/>
      <c r="AB115" s="522"/>
    </row>
    <row r="116" spans="1:28" ht="75" x14ac:dyDescent="0.25">
      <c r="A116" s="646" t="s">
        <v>609</v>
      </c>
      <c r="B116" s="7">
        <f>IF(  AND(ISNUMBER(C116),OR(ISNUMBER(D116),D116="PG")),IF(IF(Capa!$B$6="B",0,Capa!$B$6)&gt;=C116,1,0),"")</f>
        <v>0</v>
      </c>
      <c r="C116" s="6">
        <f t="shared" si="9"/>
        <v>1</v>
      </c>
      <c r="D116" s="647">
        <v>393</v>
      </c>
      <c r="E116" s="352" t="s">
        <v>614</v>
      </c>
      <c r="F116" s="513"/>
      <c r="G116" s="468"/>
      <c r="H116" s="241"/>
      <c r="I116" s="29"/>
      <c r="J116" s="425">
        <f t="shared" si="12"/>
        <v>0</v>
      </c>
      <c r="K116" s="471"/>
      <c r="L116" s="697" t="str">
        <f t="shared" si="13"/>
        <v/>
      </c>
      <c r="M116" s="719"/>
      <c r="N116" s="720"/>
      <c r="O116" s="720"/>
      <c r="P116" s="720"/>
      <c r="Q116" s="720"/>
      <c r="R116" s="720"/>
      <c r="S116" s="720"/>
      <c r="T116" s="721"/>
      <c r="U116" s="71"/>
      <c r="V116" s="464"/>
      <c r="W116" s="476"/>
      <c r="X116" s="522"/>
      <c r="Y116" s="522"/>
      <c r="Z116" s="522"/>
      <c r="AA116" s="522"/>
      <c r="AB116" s="522"/>
    </row>
    <row r="117" spans="1:28" ht="6.6" customHeight="1" x14ac:dyDescent="0.25">
      <c r="A117" s="646" t="s">
        <v>609</v>
      </c>
      <c r="B117" s="7" t="str">
        <f>IF(  AND(ISNUMBER(C117),OR(ISNUMBER(D117),D117="PG")),IF(IF(Capa!$B$6="B",0,Capa!$B$6)&gt;=C117,1,0),"")</f>
        <v/>
      </c>
      <c r="C117" s="6">
        <f t="shared" si="9"/>
        <v>2</v>
      </c>
      <c r="D117" s="647" t="s">
        <v>64</v>
      </c>
      <c r="E117" s="405"/>
      <c r="F117" s="513"/>
      <c r="G117" s="468"/>
      <c r="H117" s="241"/>
      <c r="I117" s="29"/>
      <c r="J117" s="425">
        <f t="shared" si="12"/>
        <v>0</v>
      </c>
      <c r="K117" s="471"/>
      <c r="L117" s="697" t="str">
        <f t="shared" si="13"/>
        <v/>
      </c>
      <c r="M117" s="719"/>
      <c r="N117" s="720"/>
      <c r="O117" s="720"/>
      <c r="P117" s="720"/>
      <c r="Q117" s="720"/>
      <c r="R117" s="720"/>
      <c r="S117" s="720"/>
      <c r="T117" s="721"/>
      <c r="U117" s="71"/>
      <c r="V117" s="464"/>
      <c r="W117" s="476"/>
      <c r="X117" s="522"/>
      <c r="Y117" s="522"/>
      <c r="Z117" s="522"/>
      <c r="AA117" s="522"/>
      <c r="AB117" s="522"/>
    </row>
    <row r="118" spans="1:28" ht="75" x14ac:dyDescent="0.25">
      <c r="A118" s="646" t="s">
        <v>609</v>
      </c>
      <c r="B118" s="7">
        <f>IF(  AND(ISNUMBER(C118),OR(ISNUMBER(D118),D118="PG")),IF(IF(Capa!$B$6="B",0,Capa!$B$6)&gt;=C118,1,0),"")</f>
        <v>0</v>
      </c>
      <c r="C118" s="6">
        <f t="shared" si="9"/>
        <v>2</v>
      </c>
      <c r="D118" s="647">
        <v>394</v>
      </c>
      <c r="E118" s="352" t="s">
        <v>615</v>
      </c>
      <c r="F118" s="513"/>
      <c r="G118" s="468"/>
      <c r="H118" s="241"/>
      <c r="I118" s="29"/>
      <c r="J118" s="425">
        <f t="shared" si="12"/>
        <v>0</v>
      </c>
      <c r="K118" s="471"/>
      <c r="L118" s="697" t="str">
        <f t="shared" si="13"/>
        <v/>
      </c>
      <c r="M118" s="719"/>
      <c r="N118" s="720"/>
      <c r="O118" s="720"/>
      <c r="P118" s="720"/>
      <c r="Q118" s="720"/>
      <c r="R118" s="720"/>
      <c r="S118" s="720"/>
      <c r="T118" s="721"/>
      <c r="U118" s="71"/>
      <c r="V118" s="464"/>
      <c r="W118" s="476"/>
      <c r="X118" s="522"/>
      <c r="Y118" s="522"/>
      <c r="Z118" s="522"/>
      <c r="AA118" s="522"/>
      <c r="AB118" s="522"/>
    </row>
    <row r="119" spans="1:28" ht="45" x14ac:dyDescent="0.25">
      <c r="A119" s="646" t="s">
        <v>609</v>
      </c>
      <c r="B119" s="7">
        <f>IF(  AND(ISNUMBER(C119),OR(ISNUMBER(D119),D119="PG")),IF(IF(Capa!$B$6="B",0,Capa!$B$6)&gt;=C119,1,0),"")</f>
        <v>0</v>
      </c>
      <c r="C119" s="6">
        <f t="shared" si="9"/>
        <v>2</v>
      </c>
      <c r="D119" s="647">
        <v>395</v>
      </c>
      <c r="E119" s="352" t="s">
        <v>616</v>
      </c>
      <c r="F119" s="513"/>
      <c r="G119" s="468"/>
      <c r="H119" s="241"/>
      <c r="I119" s="29"/>
      <c r="J119" s="425">
        <f t="shared" si="12"/>
        <v>0</v>
      </c>
      <c r="K119" s="471"/>
      <c r="L119" s="697" t="str">
        <f t="shared" si="13"/>
        <v/>
      </c>
      <c r="M119" s="719"/>
      <c r="N119" s="720"/>
      <c r="O119" s="720"/>
      <c r="P119" s="720"/>
      <c r="Q119" s="720"/>
      <c r="R119" s="720"/>
      <c r="S119" s="720"/>
      <c r="T119" s="721"/>
      <c r="U119" s="71"/>
      <c r="V119" s="464"/>
      <c r="W119" s="476"/>
      <c r="X119" s="522"/>
      <c r="Y119" s="522"/>
      <c r="Z119" s="522"/>
      <c r="AA119" s="522"/>
      <c r="AB119" s="522"/>
    </row>
    <row r="120" spans="1:28" ht="6" customHeight="1" x14ac:dyDescent="0.25">
      <c r="A120" s="646" t="s">
        <v>609</v>
      </c>
      <c r="B120" s="7" t="str">
        <f>IF(  AND(ISNUMBER(C120),OR(ISNUMBER(D120),D120="PG")),IF(IF(Capa!$B$6="B",0,Capa!$B$6)&gt;=C120,1,0),"")</f>
        <v/>
      </c>
      <c r="C120" s="6">
        <f t="shared" si="9"/>
        <v>3</v>
      </c>
      <c r="D120" s="647" t="s">
        <v>70</v>
      </c>
      <c r="E120" s="405"/>
      <c r="F120" s="513"/>
      <c r="G120" s="468"/>
      <c r="H120" s="241"/>
      <c r="I120" s="29"/>
      <c r="J120" s="425">
        <f t="shared" si="12"/>
        <v>0</v>
      </c>
      <c r="K120" s="471"/>
      <c r="L120" s="697" t="str">
        <f t="shared" si="13"/>
        <v/>
      </c>
      <c r="M120" s="719"/>
      <c r="N120" s="720"/>
      <c r="O120" s="720"/>
      <c r="P120" s="720"/>
      <c r="Q120" s="720"/>
      <c r="R120" s="720"/>
      <c r="S120" s="720"/>
      <c r="T120" s="721"/>
      <c r="U120" s="71"/>
      <c r="V120" s="464"/>
      <c r="W120" s="476"/>
      <c r="X120" s="522"/>
      <c r="Y120" s="522"/>
      <c r="Z120" s="522"/>
      <c r="AA120" s="522"/>
      <c r="AB120" s="522"/>
    </row>
    <row r="121" spans="1:28" ht="45" x14ac:dyDescent="0.25">
      <c r="A121" s="646" t="s">
        <v>609</v>
      </c>
      <c r="B121" s="7">
        <f>IF(  AND(ISNUMBER(C121),OR(ISNUMBER(D121),D121="PG")),IF(IF(Capa!$B$6="B",0,Capa!$B$6)&gt;=C121,1,0),"")</f>
        <v>0</v>
      </c>
      <c r="C121" s="6">
        <f t="shared" si="9"/>
        <v>3</v>
      </c>
      <c r="D121" s="647">
        <v>396</v>
      </c>
      <c r="E121" s="352" t="s">
        <v>617</v>
      </c>
      <c r="F121" s="513"/>
      <c r="G121" s="468"/>
      <c r="H121" s="241"/>
      <c r="I121" s="29"/>
      <c r="J121" s="425">
        <f t="shared" si="12"/>
        <v>0</v>
      </c>
      <c r="K121" s="471"/>
      <c r="L121" s="697" t="str">
        <f t="shared" si="13"/>
        <v/>
      </c>
      <c r="M121" s="719"/>
      <c r="N121" s="720"/>
      <c r="O121" s="720"/>
      <c r="P121" s="720"/>
      <c r="Q121" s="720"/>
      <c r="R121" s="720"/>
      <c r="S121" s="720"/>
      <c r="T121" s="721"/>
      <c r="U121" s="71"/>
      <c r="V121" s="464"/>
      <c r="W121" s="476"/>
      <c r="X121" s="522"/>
      <c r="Y121" s="522"/>
      <c r="Z121" s="522"/>
      <c r="AA121" s="522"/>
      <c r="AB121" s="522"/>
    </row>
    <row r="122" spans="1:28" ht="45" x14ac:dyDescent="0.25">
      <c r="A122" s="646" t="s">
        <v>609</v>
      </c>
      <c r="B122" s="7">
        <f>IF(  AND(ISNUMBER(C122),OR(ISNUMBER(D122),D122="PG")),IF(IF(Capa!$B$6="B",0,Capa!$B$6)&gt;=C122,1,0),"")</f>
        <v>0</v>
      </c>
      <c r="C122" s="6">
        <f t="shared" si="9"/>
        <v>3</v>
      </c>
      <c r="D122" s="647">
        <v>397</v>
      </c>
      <c r="E122" s="352" t="s">
        <v>618</v>
      </c>
      <c r="F122" s="513"/>
      <c r="G122" s="468"/>
      <c r="H122" s="241"/>
      <c r="I122" s="29"/>
      <c r="J122" s="425">
        <f t="shared" si="12"/>
        <v>0</v>
      </c>
      <c r="K122" s="471"/>
      <c r="L122" s="697" t="str">
        <f t="shared" si="13"/>
        <v/>
      </c>
      <c r="M122" s="719"/>
      <c r="N122" s="720"/>
      <c r="O122" s="720"/>
      <c r="P122" s="720"/>
      <c r="Q122" s="720"/>
      <c r="R122" s="720"/>
      <c r="S122" s="720"/>
      <c r="T122" s="721"/>
      <c r="U122" s="71"/>
      <c r="V122" s="464"/>
      <c r="W122" s="476"/>
      <c r="X122" s="522"/>
      <c r="Y122" s="522"/>
      <c r="Z122" s="522"/>
      <c r="AA122" s="522"/>
      <c r="AB122" s="522"/>
    </row>
    <row r="123" spans="1:28" ht="8.1" customHeight="1" x14ac:dyDescent="0.25">
      <c r="B123" s="7" t="str">
        <f>IF(  AND(ISNUMBER(C123),OR(ISNUMBER(D123),D123="PG")),IF(IF(Capa!$B$6="B",0,Capa!$B$6)&gt;=C123,1,0),"")</f>
        <v/>
      </c>
      <c r="C123" s="6" t="str">
        <f t="shared" si="9"/>
        <v/>
      </c>
      <c r="D123" s="122"/>
      <c r="E123" s="291"/>
      <c r="F123" s="615"/>
      <c r="G123" s="246"/>
      <c r="H123" s="227"/>
      <c r="I123" s="615"/>
      <c r="J123" s="227"/>
      <c r="K123" s="694"/>
      <c r="L123" s="576"/>
      <c r="M123" s="129"/>
      <c r="N123" s="129"/>
      <c r="O123" s="129"/>
      <c r="P123" s="129"/>
      <c r="Q123" s="129"/>
      <c r="R123" s="129"/>
      <c r="S123" s="247"/>
      <c r="T123" s="247"/>
      <c r="U123" s="282"/>
      <c r="V123" s="547"/>
      <c r="W123" s="125"/>
      <c r="X123" s="522"/>
      <c r="Y123" s="522"/>
      <c r="Z123" s="522"/>
      <c r="AA123" s="522"/>
      <c r="AB123" s="522"/>
    </row>
    <row r="124" spans="1:28" x14ac:dyDescent="0.25">
      <c r="A124" s="210" t="s">
        <v>619</v>
      </c>
      <c r="B124" s="7" t="str">
        <f>IF(  AND(ISNUMBER(C124),OR(ISNUMBER(D124),D124="PG")),IF(IF(Capa!$B$6="B",0,Capa!$B$6)&gt;=C124,1,0),"")</f>
        <v/>
      </c>
      <c r="C124" s="6" t="str">
        <f t="shared" si="9"/>
        <v/>
      </c>
      <c r="D124" s="15"/>
      <c r="E124" s="395" t="s">
        <v>620</v>
      </c>
      <c r="F124" s="23"/>
      <c r="G124" s="470"/>
      <c r="H124" s="219"/>
      <c r="I124" s="23"/>
      <c r="J124" s="219"/>
      <c r="K124" s="504"/>
      <c r="L124" s="383">
        <f>IF(AND($B126=1,D126="PG"),IF(COUNTIFS($A$1:$A$230,"="&amp;$A124,$B$1:$B$230,"&gt;0",$D$1:$D$230,"&gt;0")&gt;0,
        (COUNTIFS($A$1:$A$230,"="&amp;$A124,$B$1:$B$230,"&gt;0",$D$1:$D$230,"&gt;0",F$1:F$230,"=S",I$1:I$230,"") +
         (COUNTIFS($A$1:$A$230,"="&amp;$A124,$B$1:$B$230,"&gt;0",$D$1:$D$230,"&gt;0",$F$1:$F$230,"=P",I$1:I$230,"")/2) +
         COUNTIFS($A$1:$A$230,"="&amp;$A124,$B$1:$B$230,"&gt;0",$D$1:$D$230,"&gt;0",I$1:I$230,"=S") +
         (COUNTIFS($A$1:$A$230,"="&amp;$A124,$B$1:$B$230,"&gt;0",$D$1:$D$230,"&gt;0",I$1:I$230,"=P")/2)
         )/COUNTIFS($A$1:$A$230,"="&amp;$A124,$B$1:$B$230,"&gt;0",$D$1:$D$230,"&gt;0"),1),"")</f>
        <v>0</v>
      </c>
      <c r="M124" s="380"/>
      <c r="N124" s="70"/>
      <c r="O124" s="68"/>
      <c r="P124" s="68"/>
      <c r="Q124" s="83">
        <f>IF(L124="","",MIN(IF(ISBLANK(Q126),0,Q126),IF(L124&gt;0.9,4,IF(L124&gt;0.5,3,IF(L124&gt;0.3,2,IF(OR(L124&gt;0,Q126&gt;0),1,0))))))</f>
        <v>0</v>
      </c>
      <c r="R124" s="61"/>
      <c r="S124" s="282"/>
      <c r="T124" s="282"/>
      <c r="U124" s="282"/>
      <c r="V124" s="545"/>
      <c r="W124" s="66"/>
      <c r="X124" s="579"/>
      <c r="Y124" s="579"/>
      <c r="Z124" s="579"/>
      <c r="AA124" s="579"/>
      <c r="AB124" s="579"/>
    </row>
    <row r="125" spans="1:28" ht="7.7" customHeight="1" x14ac:dyDescent="0.25">
      <c r="A125" s="210" t="s">
        <v>619</v>
      </c>
      <c r="B125" s="7" t="str">
        <f>IF(  AND(ISNUMBER(C125),OR(ISNUMBER(D125),D125="PG")),IF(IF(Capa!$B$6="B",0,Capa!$B$6)&gt;=C125,1,0),"")</f>
        <v/>
      </c>
      <c r="C125" s="6">
        <f t="shared" si="9"/>
        <v>0</v>
      </c>
      <c r="D125" s="5" t="s">
        <v>53</v>
      </c>
      <c r="E125" s="391"/>
      <c r="F125" s="25"/>
      <c r="G125" s="468"/>
      <c r="H125" s="241"/>
      <c r="I125" s="29"/>
      <c r="J125" s="239"/>
      <c r="K125" s="695"/>
      <c r="L125" s="242"/>
      <c r="M125" s="59"/>
      <c r="N125" s="59"/>
      <c r="O125" s="59"/>
      <c r="P125" s="59"/>
      <c r="Q125" s="59"/>
      <c r="R125" s="59"/>
      <c r="S125" s="262"/>
      <c r="T125" s="262"/>
      <c r="U125" s="355"/>
      <c r="V125" s="465"/>
      <c r="W125" s="478"/>
      <c r="X125" s="522"/>
      <c r="Y125" s="522"/>
      <c r="Z125" s="522"/>
      <c r="AA125" s="522"/>
      <c r="AB125" s="522"/>
    </row>
    <row r="126" spans="1:28" ht="38.25" x14ac:dyDescent="0.25">
      <c r="A126" s="646" t="s">
        <v>619</v>
      </c>
      <c r="B126" s="7">
        <f>IF(  AND(ISNUMBER(C126),OR(ISNUMBER(D126),D126="PG")),IF(IF(Capa!$B$6="B",0,Capa!$B$6)&gt;=C126,1,0),"")</f>
        <v>1</v>
      </c>
      <c r="C126" s="6">
        <f t="shared" si="9"/>
        <v>0</v>
      </c>
      <c r="D126" s="647" t="s">
        <v>54</v>
      </c>
      <c r="E126" s="389" t="s">
        <v>621</v>
      </c>
      <c r="F126" s="513"/>
      <c r="G126" s="468"/>
      <c r="H126" s="241"/>
      <c r="I126" s="29"/>
      <c r="J126" s="239"/>
      <c r="K126" s="471"/>
      <c r="L126" s="697" t="str">
        <f>IF(OR(AND(NOT(ISBLANK(M126)),M126&lt;IF(Capa!$B$6&lt;&gt;"B",Capa!$B$6+1,1)),AND(NOT(ISBLANK(N126)),N126&lt;IF(Capa!$B$6&lt;&gt;"B",Capa!$B$6+1,1)),AND(NOT(ISBLANK(O126)),O126&lt;IF(Capa!$B$6&lt;&gt;"B",Capa!$B$6+1,1)),AND(NOT(ISBLANK(Q126)),Q126&lt;IF(Capa!$B$6&lt;&gt;"B",Capa!$B$6+1,1)),AND(NOT(ISBLANK(R126)),R126&lt;IF(Capa!$B$6&lt;&gt;"B",Capa!$B$6+1,1)),AND(NOT(ISBLANK(S126)),S126&lt;IF(Capa!$B$6&lt;&gt;"B",Capa!$B$6+1,1))),1,"")</f>
        <v/>
      </c>
      <c r="M126" s="81"/>
      <c r="N126" s="81"/>
      <c r="O126" s="81"/>
      <c r="P126" s="81"/>
      <c r="Q126" s="81"/>
      <c r="R126" s="81"/>
      <c r="S126" s="81"/>
      <c r="T126" s="81"/>
      <c r="U126" s="58"/>
      <c r="V126" s="464"/>
      <c r="W126" s="476"/>
      <c r="X126" s="666"/>
      <c r="Y126" s="522"/>
      <c r="Z126" s="522"/>
      <c r="AA126" s="522"/>
      <c r="AB126" s="522"/>
    </row>
    <row r="127" spans="1:28" ht="45" x14ac:dyDescent="0.25">
      <c r="A127" s="646" t="s">
        <v>619</v>
      </c>
      <c r="B127" s="7">
        <f>IF(  AND(ISNUMBER(C127),OR(ISNUMBER(D127),D127="PG")),IF(IF(Capa!$B$6="B",0,Capa!$B$6)&gt;=C127,1,0),"")</f>
        <v>1</v>
      </c>
      <c r="C127" s="6">
        <f t="shared" si="9"/>
        <v>0</v>
      </c>
      <c r="D127" s="647">
        <v>398</v>
      </c>
      <c r="E127" s="352" t="s">
        <v>622</v>
      </c>
      <c r="F127" s="513"/>
      <c r="G127" s="468"/>
      <c r="H127" s="241"/>
      <c r="I127" s="29"/>
      <c r="J127" s="425">
        <f t="shared" ref="J127:J136" si="14">LEN(K127)</f>
        <v>0</v>
      </c>
      <c r="K127" s="471"/>
      <c r="L127" s="697" t="str">
        <f t="shared" ref="L127:L136" si="15">IF(OR(I127="N",I127="P"),1,"")</f>
        <v/>
      </c>
      <c r="M127" s="719"/>
      <c r="N127" s="720"/>
      <c r="O127" s="720"/>
      <c r="P127" s="720"/>
      <c r="Q127" s="720"/>
      <c r="R127" s="720"/>
      <c r="S127" s="720"/>
      <c r="T127" s="721"/>
      <c r="U127" s="71"/>
      <c r="V127" s="464"/>
      <c r="W127" s="476"/>
      <c r="X127" s="522"/>
      <c r="Y127" s="522"/>
      <c r="Z127" s="522"/>
      <c r="AA127" s="522"/>
      <c r="AB127" s="522"/>
    </row>
    <row r="128" spans="1:28" ht="6.6" customHeight="1" x14ac:dyDescent="0.25">
      <c r="A128" s="646" t="s">
        <v>619</v>
      </c>
      <c r="B128" s="7" t="str">
        <f>IF(  AND(ISNUMBER(C128),OR(ISNUMBER(D128),D128="PG")),IF(IF(Capa!$B$6="B",0,Capa!$B$6)&gt;=C128,1,0),"")</f>
        <v/>
      </c>
      <c r="C128" s="6">
        <f t="shared" si="9"/>
        <v>1</v>
      </c>
      <c r="D128" s="647" t="s">
        <v>62</v>
      </c>
      <c r="E128" s="405"/>
      <c r="F128" s="513"/>
      <c r="G128" s="468"/>
      <c r="H128" s="241"/>
      <c r="I128" s="29"/>
      <c r="J128" s="425">
        <f t="shared" si="14"/>
        <v>0</v>
      </c>
      <c r="K128" s="471"/>
      <c r="L128" s="697" t="str">
        <f t="shared" si="15"/>
        <v/>
      </c>
      <c r="M128" s="719"/>
      <c r="N128" s="720"/>
      <c r="O128" s="720"/>
      <c r="P128" s="720"/>
      <c r="Q128" s="720"/>
      <c r="R128" s="720"/>
      <c r="S128" s="720"/>
      <c r="T128" s="721"/>
      <c r="U128" s="71"/>
      <c r="V128" s="464"/>
      <c r="W128" s="476"/>
      <c r="X128" s="522"/>
      <c r="Y128" s="522"/>
      <c r="Z128" s="522"/>
      <c r="AA128" s="522"/>
      <c r="AB128" s="522"/>
    </row>
    <row r="129" spans="1:28" ht="60" x14ac:dyDescent="0.25">
      <c r="A129" s="646" t="s">
        <v>619</v>
      </c>
      <c r="B129" s="7">
        <f>IF(  AND(ISNUMBER(C129),OR(ISNUMBER(D129),D129="PG")),IF(IF(Capa!$B$6="B",0,Capa!$B$6)&gt;=C129,1,0),"")</f>
        <v>0</v>
      </c>
      <c r="C129" s="6">
        <f t="shared" si="9"/>
        <v>1</v>
      </c>
      <c r="D129" s="647">
        <v>399</v>
      </c>
      <c r="E129" s="352" t="s">
        <v>623</v>
      </c>
      <c r="F129" s="513"/>
      <c r="G129" s="468"/>
      <c r="H129" s="241"/>
      <c r="I129" s="29"/>
      <c r="J129" s="425">
        <f t="shared" si="14"/>
        <v>0</v>
      </c>
      <c r="K129" s="471"/>
      <c r="L129" s="697" t="str">
        <f t="shared" si="15"/>
        <v/>
      </c>
      <c r="M129" s="719"/>
      <c r="N129" s="720"/>
      <c r="O129" s="720"/>
      <c r="P129" s="720"/>
      <c r="Q129" s="720"/>
      <c r="R129" s="720"/>
      <c r="S129" s="720"/>
      <c r="T129" s="721"/>
      <c r="U129" s="71"/>
      <c r="V129" s="464"/>
      <c r="W129" s="476"/>
      <c r="X129" s="522"/>
      <c r="Y129" s="522"/>
      <c r="Z129" s="522"/>
      <c r="AA129" s="522"/>
      <c r="AB129" s="522"/>
    </row>
    <row r="130" spans="1:28" ht="7.35" customHeight="1" x14ac:dyDescent="0.25">
      <c r="A130" s="646" t="s">
        <v>619</v>
      </c>
      <c r="B130" s="7" t="str">
        <f>IF(  AND(ISNUMBER(C130),OR(ISNUMBER(D130),D130="PG")),IF(IF(Capa!$B$6="B",0,Capa!$B$6)&gt;=C130,1,0),"")</f>
        <v/>
      </c>
      <c r="C130" s="6">
        <f t="shared" si="9"/>
        <v>2</v>
      </c>
      <c r="D130" s="647" t="s">
        <v>64</v>
      </c>
      <c r="E130" s="405"/>
      <c r="F130" s="513"/>
      <c r="G130" s="468"/>
      <c r="H130" s="241"/>
      <c r="I130" s="29"/>
      <c r="J130" s="425">
        <f t="shared" si="14"/>
        <v>0</v>
      </c>
      <c r="K130" s="471"/>
      <c r="L130" s="697" t="str">
        <f t="shared" si="15"/>
        <v/>
      </c>
      <c r="M130" s="719"/>
      <c r="N130" s="720"/>
      <c r="O130" s="720"/>
      <c r="P130" s="720"/>
      <c r="Q130" s="720"/>
      <c r="R130" s="720"/>
      <c r="S130" s="720"/>
      <c r="T130" s="721"/>
      <c r="U130" s="71"/>
      <c r="V130" s="464"/>
      <c r="W130" s="476"/>
      <c r="X130" s="522"/>
      <c r="Y130" s="522"/>
      <c r="Z130" s="522"/>
      <c r="AA130" s="522"/>
      <c r="AB130" s="522"/>
    </row>
    <row r="131" spans="1:28" ht="30" x14ac:dyDescent="0.25">
      <c r="A131" s="646" t="s">
        <v>619</v>
      </c>
      <c r="B131" s="7">
        <f>IF(  AND(ISNUMBER(C131),OR(ISNUMBER(D131),D131="PG")),IF(IF(Capa!$B$6="B",0,Capa!$B$6)&gt;=C131,1,0),"")</f>
        <v>0</v>
      </c>
      <c r="C131" s="6">
        <f t="shared" si="9"/>
        <v>2</v>
      </c>
      <c r="D131" s="647">
        <v>400</v>
      </c>
      <c r="E131" s="352" t="s">
        <v>624</v>
      </c>
      <c r="F131" s="513"/>
      <c r="G131" s="468"/>
      <c r="H131" s="241"/>
      <c r="I131" s="29"/>
      <c r="J131" s="425">
        <f t="shared" si="14"/>
        <v>0</v>
      </c>
      <c r="K131" s="471"/>
      <c r="L131" s="697" t="str">
        <f t="shared" si="15"/>
        <v/>
      </c>
      <c r="M131" s="719"/>
      <c r="N131" s="720"/>
      <c r="O131" s="720"/>
      <c r="P131" s="720"/>
      <c r="Q131" s="720"/>
      <c r="R131" s="720"/>
      <c r="S131" s="720"/>
      <c r="T131" s="721"/>
      <c r="U131" s="71"/>
      <c r="V131" s="464"/>
      <c r="W131" s="476"/>
      <c r="X131" s="522"/>
      <c r="Y131" s="522"/>
      <c r="Z131" s="522"/>
      <c r="AA131" s="522"/>
      <c r="AB131" s="522"/>
    </row>
    <row r="132" spans="1:28" ht="30" x14ac:dyDescent="0.25">
      <c r="A132" s="646" t="s">
        <v>619</v>
      </c>
      <c r="B132" s="7">
        <f>IF(  AND(ISNUMBER(C132),OR(ISNUMBER(D132),D132="PG")),IF(IF(Capa!$B$6="B",0,Capa!$B$6)&gt;=C132,1,0),"")</f>
        <v>0</v>
      </c>
      <c r="C132" s="6">
        <f t="shared" si="9"/>
        <v>2</v>
      </c>
      <c r="D132" s="647">
        <v>401</v>
      </c>
      <c r="E132" s="352" t="s">
        <v>625</v>
      </c>
      <c r="F132" s="513"/>
      <c r="G132" s="468"/>
      <c r="H132" s="241"/>
      <c r="I132" s="29"/>
      <c r="J132" s="425">
        <f t="shared" si="14"/>
        <v>0</v>
      </c>
      <c r="K132" s="471"/>
      <c r="L132" s="697" t="str">
        <f t="shared" si="15"/>
        <v/>
      </c>
      <c r="M132" s="719"/>
      <c r="N132" s="720"/>
      <c r="O132" s="720"/>
      <c r="P132" s="720"/>
      <c r="Q132" s="720"/>
      <c r="R132" s="720"/>
      <c r="S132" s="720"/>
      <c r="T132" s="721"/>
      <c r="U132" s="71"/>
      <c r="V132" s="464"/>
      <c r="W132" s="476"/>
      <c r="X132" s="522"/>
      <c r="Y132" s="522"/>
      <c r="Z132" s="522"/>
      <c r="AA132" s="522"/>
      <c r="AB132" s="522"/>
    </row>
    <row r="133" spans="1:28" ht="30" x14ac:dyDescent="0.25">
      <c r="A133" s="646" t="s">
        <v>619</v>
      </c>
      <c r="B133" s="7">
        <f>IF(  AND(ISNUMBER(C133),OR(ISNUMBER(D133),D133="PG")),IF(IF(Capa!$B$6="B",0,Capa!$B$6)&gt;=C133,1,0),"")</f>
        <v>0</v>
      </c>
      <c r="C133" s="6">
        <f t="shared" ref="C133:C152" si="16">IF(ISBLANK(D133),"",IF(ISERR(SEARCH(D133&amp;"\","&lt;B&gt;\&lt;1&gt;\&lt;2&gt;\&lt;3&gt;\")),IF(AND(NOT(ISBLANK(C132)),C132&lt;=3),C132,""),
IF(SEARCH(D133&amp;"\","&lt;B&gt;\&lt;1&gt;\&lt;2&gt;\&lt;3&gt;\")=1,0,IF(SEARCH(D133&amp;"\","&lt;B&gt;\&lt;1&gt;\&lt;2&gt;\&lt;3&gt;\")=5,1,IF(SEARCH(D133&amp;"\","&lt;B&gt;\&lt;1&gt;\&lt;2&gt;\&lt;3&gt;\")=9,2,IF(SEARCH(D133&amp;"\","&lt;B&gt;\&lt;1&gt;\&lt;2&gt;\&lt;3&gt;\")=13,3,""))))))</f>
        <v>2</v>
      </c>
      <c r="D133" s="647">
        <v>402</v>
      </c>
      <c r="E133" s="352" t="s">
        <v>626</v>
      </c>
      <c r="F133" s="513"/>
      <c r="G133" s="468"/>
      <c r="H133" s="241"/>
      <c r="I133" s="29"/>
      <c r="J133" s="425">
        <f t="shared" si="14"/>
        <v>0</v>
      </c>
      <c r="K133" s="471"/>
      <c r="L133" s="697" t="str">
        <f t="shared" si="15"/>
        <v/>
      </c>
      <c r="M133" s="719"/>
      <c r="N133" s="720"/>
      <c r="O133" s="720"/>
      <c r="P133" s="720"/>
      <c r="Q133" s="720"/>
      <c r="R133" s="720"/>
      <c r="S133" s="720"/>
      <c r="T133" s="721"/>
      <c r="U133" s="71"/>
      <c r="V133" s="464"/>
      <c r="W133" s="476"/>
      <c r="X133" s="522"/>
      <c r="Y133" s="522"/>
      <c r="Z133" s="522"/>
      <c r="AA133" s="522"/>
      <c r="AB133" s="522"/>
    </row>
    <row r="134" spans="1:28" ht="7.35" customHeight="1" x14ac:dyDescent="0.25">
      <c r="A134" s="646" t="s">
        <v>619</v>
      </c>
      <c r="B134" s="7" t="str">
        <f>IF(  AND(ISNUMBER(C134),OR(ISNUMBER(D134),D134="PG")),IF(IF(Capa!$B$6="B",0,Capa!$B$6)&gt;=C134,1,0),"")</f>
        <v/>
      </c>
      <c r="C134" s="6">
        <f t="shared" si="16"/>
        <v>3</v>
      </c>
      <c r="D134" s="647" t="s">
        <v>70</v>
      </c>
      <c r="E134" s="405"/>
      <c r="F134" s="513"/>
      <c r="G134" s="468"/>
      <c r="H134" s="241"/>
      <c r="I134" s="29"/>
      <c r="J134" s="425">
        <f t="shared" si="14"/>
        <v>0</v>
      </c>
      <c r="K134" s="471"/>
      <c r="L134" s="697" t="str">
        <f t="shared" si="15"/>
        <v/>
      </c>
      <c r="M134" s="719"/>
      <c r="N134" s="720"/>
      <c r="O134" s="720"/>
      <c r="P134" s="720"/>
      <c r="Q134" s="720"/>
      <c r="R134" s="720"/>
      <c r="S134" s="720"/>
      <c r="T134" s="721"/>
      <c r="U134" s="71"/>
      <c r="V134" s="464"/>
      <c r="W134" s="476"/>
      <c r="X134" s="522"/>
      <c r="Y134" s="522"/>
      <c r="Z134" s="522"/>
      <c r="AA134" s="522"/>
      <c r="AB134" s="522"/>
    </row>
    <row r="135" spans="1:28" ht="30" x14ac:dyDescent="0.25">
      <c r="A135" s="646" t="s">
        <v>619</v>
      </c>
      <c r="B135" s="7">
        <f>IF(  AND(ISNUMBER(C135),OR(ISNUMBER(D135),D135="PG")),IF(IF(Capa!$B$6="B",0,Capa!$B$6)&gt;=C135,1,0),"")</f>
        <v>0</v>
      </c>
      <c r="C135" s="6">
        <f t="shared" si="16"/>
        <v>3</v>
      </c>
      <c r="D135" s="647">
        <v>403</v>
      </c>
      <c r="E135" s="352" t="s">
        <v>627</v>
      </c>
      <c r="F135" s="513"/>
      <c r="G135" s="468"/>
      <c r="H135" s="241"/>
      <c r="I135" s="29"/>
      <c r="J135" s="425">
        <f t="shared" si="14"/>
        <v>0</v>
      </c>
      <c r="K135" s="471"/>
      <c r="L135" s="697" t="str">
        <f t="shared" si="15"/>
        <v/>
      </c>
      <c r="M135" s="719"/>
      <c r="N135" s="720"/>
      <c r="O135" s="720"/>
      <c r="P135" s="720"/>
      <c r="Q135" s="720"/>
      <c r="R135" s="720"/>
      <c r="S135" s="720"/>
      <c r="T135" s="721"/>
      <c r="U135" s="71"/>
      <c r="V135" s="464"/>
      <c r="W135" s="476"/>
      <c r="X135" s="522"/>
      <c r="Y135" s="522"/>
      <c r="Z135" s="522"/>
      <c r="AA135" s="522"/>
      <c r="AB135" s="522"/>
    </row>
    <row r="136" spans="1:28" ht="30" x14ac:dyDescent="0.25">
      <c r="A136" s="646" t="s">
        <v>619</v>
      </c>
      <c r="B136" s="7">
        <f>IF(  AND(ISNUMBER(C136),OR(ISNUMBER(D136),D136="PG")),IF(IF(Capa!$B$6="B",0,Capa!$B$6)&gt;=C136,1,0),"")</f>
        <v>0</v>
      </c>
      <c r="C136" s="6">
        <f t="shared" si="16"/>
        <v>3</v>
      </c>
      <c r="D136" s="647">
        <v>404</v>
      </c>
      <c r="E136" s="411" t="s">
        <v>628</v>
      </c>
      <c r="F136" s="513"/>
      <c r="G136" s="468"/>
      <c r="H136" s="241"/>
      <c r="I136" s="29"/>
      <c r="J136" s="425">
        <f t="shared" si="14"/>
        <v>0</v>
      </c>
      <c r="K136" s="471"/>
      <c r="L136" s="697" t="str">
        <f t="shared" si="15"/>
        <v/>
      </c>
      <c r="M136" s="719"/>
      <c r="N136" s="720"/>
      <c r="O136" s="720"/>
      <c r="P136" s="720"/>
      <c r="Q136" s="720"/>
      <c r="R136" s="720"/>
      <c r="S136" s="720"/>
      <c r="T136" s="721"/>
      <c r="U136" s="71"/>
      <c r="V136" s="464"/>
      <c r="W136" s="476"/>
      <c r="X136" s="522"/>
      <c r="Y136" s="522"/>
      <c r="Z136" s="522"/>
      <c r="AA136" s="522"/>
      <c r="AB136" s="522"/>
    </row>
    <row r="137" spans="1:28" ht="8.1" customHeight="1" x14ac:dyDescent="0.25">
      <c r="B137" s="7" t="str">
        <f>IF(  AND(ISNUMBER(C137),OR(ISNUMBER(D137),D137="PG")),IF(IF(Capa!$B$6="B",0,Capa!$B$6)&gt;=C137,1,0),"")</f>
        <v/>
      </c>
      <c r="C137" s="6" t="str">
        <f t="shared" si="16"/>
        <v/>
      </c>
      <c r="D137" s="122"/>
      <c r="E137" s="291"/>
      <c r="F137" s="123"/>
      <c r="G137" s="227"/>
      <c r="H137" s="227"/>
      <c r="I137" s="123"/>
      <c r="J137" s="227"/>
      <c r="K137" s="694"/>
      <c r="L137" s="219"/>
      <c r="M137" s="124"/>
      <c r="N137" s="124"/>
      <c r="O137" s="124"/>
      <c r="P137" s="124"/>
      <c r="Q137" s="124"/>
      <c r="R137" s="124"/>
      <c r="S137" s="251"/>
      <c r="T137" s="251"/>
      <c r="U137" s="260"/>
      <c r="V137" s="547"/>
      <c r="W137" s="125"/>
      <c r="X137" s="522"/>
      <c r="Y137" s="522"/>
      <c r="Z137" s="522"/>
      <c r="AA137" s="522"/>
      <c r="AB137" s="522"/>
    </row>
    <row r="138" spans="1:28" x14ac:dyDescent="0.25">
      <c r="A138" s="210" t="s">
        <v>629</v>
      </c>
      <c r="B138" s="7" t="str">
        <f>IF(  AND(ISNUMBER(C138),OR(ISNUMBER(D138),D138="PG")),IF(IF(Capa!$B$6="B",0,Capa!$B$6)&gt;=C138,1,0),"")</f>
        <v/>
      </c>
      <c r="C138" s="6" t="str">
        <f t="shared" si="16"/>
        <v/>
      </c>
      <c r="D138" s="15"/>
      <c r="E138" s="395" t="s">
        <v>630</v>
      </c>
      <c r="F138" s="23"/>
      <c r="G138" s="470"/>
      <c r="H138" s="219"/>
      <c r="I138" s="23"/>
      <c r="J138" s="219"/>
      <c r="K138" s="504"/>
      <c r="L138" s="383">
        <f>IF(AND($B140=1,D140="PG"),IF(COUNTIFS($A$1:$A$230,"="&amp;$A138,$B$1:$B$230,"&gt;0",$D$1:$D$230,"&gt;0")&gt;0,
        (COUNTIFS($A$1:$A$230,"="&amp;$A138,$B$1:$B$230,"&gt;0",$D$1:$D$230,"&gt;0",F$1:F$230,"=S",I$1:I$230,"") +
         (COUNTIFS($A$1:$A$230,"="&amp;$A138,$B$1:$B$230,"&gt;0",$D$1:$D$230,"&gt;0",$F$1:$F$230,"=P",I$1:I$230,"")/2) +
         COUNTIFS($A$1:$A$230,"="&amp;$A138,$B$1:$B$230,"&gt;0",$D$1:$D$230,"&gt;0",I$1:I$230,"=S") +
         (COUNTIFS($A$1:$A$230,"="&amp;$A138,$B$1:$B$230,"&gt;0",$D$1:$D$230,"&gt;0",I$1:I$230,"=P")/2)
         )/COUNTIFS($A$1:$A$230,"="&amp;$A138,$B$1:$B$230,"&gt;0",$D$1:$D$230,"&gt;0"),1),"")</f>
        <v>0</v>
      </c>
      <c r="M138" s="380"/>
      <c r="N138" s="70"/>
      <c r="O138" s="68"/>
      <c r="P138" s="68"/>
      <c r="Q138" s="83">
        <f>IF(L138="","",MIN(IF(ISBLANK(Q140),0,Q140),IF(L138&gt;0.9,4,IF(L138&gt;0.5,3,IF(L138&gt;0.3,2,IF(OR(L138&gt;0,Q140&gt;0),1,0))))))</f>
        <v>0</v>
      </c>
      <c r="R138" s="70"/>
      <c r="S138" s="260"/>
      <c r="T138" s="260"/>
      <c r="U138" s="260"/>
      <c r="V138" s="545"/>
      <c r="W138" s="66"/>
      <c r="X138" s="579"/>
      <c r="Y138" s="579"/>
      <c r="Z138" s="579"/>
      <c r="AA138" s="579"/>
      <c r="AB138" s="579"/>
    </row>
    <row r="139" spans="1:28" ht="6" customHeight="1" x14ac:dyDescent="0.25">
      <c r="A139" s="210" t="s">
        <v>629</v>
      </c>
      <c r="B139" s="7" t="str">
        <f>IF(  AND(ISNUMBER(C139),OR(ISNUMBER(D139),D139="PG")),IF(IF(Capa!$B$6="B",0,Capa!$B$6)&gt;=C139,1,0),"")</f>
        <v/>
      </c>
      <c r="C139" s="6">
        <f t="shared" si="16"/>
        <v>0</v>
      </c>
      <c r="D139" s="5" t="s">
        <v>53</v>
      </c>
      <c r="E139" s="391"/>
      <c r="F139" s="26"/>
      <c r="G139" s="567"/>
      <c r="H139" s="239"/>
      <c r="I139" s="26"/>
      <c r="J139" s="239"/>
      <c r="K139" s="695"/>
      <c r="L139" s="242"/>
      <c r="M139" s="59"/>
      <c r="N139" s="59"/>
      <c r="O139" s="59"/>
      <c r="P139" s="59"/>
      <c r="Q139" s="59"/>
      <c r="R139" s="59"/>
      <c r="S139" s="262"/>
      <c r="T139" s="262"/>
      <c r="U139" s="355"/>
      <c r="V139" s="465"/>
      <c r="W139" s="478"/>
      <c r="X139" s="522"/>
      <c r="Y139" s="522"/>
      <c r="Z139" s="522"/>
      <c r="AA139" s="522"/>
      <c r="AB139" s="522"/>
    </row>
    <row r="140" spans="1:28" ht="38.25" x14ac:dyDescent="0.25">
      <c r="A140" s="646" t="s">
        <v>629</v>
      </c>
      <c r="B140" s="7">
        <f>IF(  AND(ISNUMBER(C140),OR(ISNUMBER(D140),D140="PG")),IF(IF(Capa!$B$6="B",0,Capa!$B$6)&gt;=C140,1,0),"")</f>
        <v>1</v>
      </c>
      <c r="C140" s="6">
        <f t="shared" si="16"/>
        <v>0</v>
      </c>
      <c r="D140" s="647" t="s">
        <v>54</v>
      </c>
      <c r="E140" s="389" t="s">
        <v>631</v>
      </c>
      <c r="F140" s="513"/>
      <c r="G140" s="468"/>
      <c r="H140" s="241"/>
      <c r="I140" s="29"/>
      <c r="J140" s="239"/>
      <c r="K140" s="471"/>
      <c r="L140" s="697" t="str">
        <f>IF(OR(AND(NOT(ISBLANK(M140)),M140&lt;IF(Capa!$B$6&lt;&gt;"B",Capa!$B$6+1,1)),AND(NOT(ISBLANK(N140)),N140&lt;IF(Capa!$B$6&lt;&gt;"B",Capa!$B$6+1,1)),AND(NOT(ISBLANK(O140)),O140&lt;IF(Capa!$B$6&lt;&gt;"B",Capa!$B$6+1,1)),AND(NOT(ISBLANK(Q140)),Q140&lt;IF(Capa!$B$6&lt;&gt;"B",Capa!$B$6+1,1)),AND(NOT(ISBLANK(R140)),R140&lt;IF(Capa!$B$6&lt;&gt;"B",Capa!$B$6+1,1)),AND(NOT(ISBLANK(S140)),S140&lt;IF(Capa!$B$6&lt;&gt;"B",Capa!$B$6+1,1))),1,"")</f>
        <v/>
      </c>
      <c r="M140" s="81"/>
      <c r="N140" s="81"/>
      <c r="O140" s="81"/>
      <c r="P140" s="81"/>
      <c r="Q140" s="81"/>
      <c r="R140" s="81"/>
      <c r="S140" s="81"/>
      <c r="T140" s="81"/>
      <c r="U140" s="58"/>
      <c r="V140" s="464"/>
      <c r="W140" s="476"/>
      <c r="X140" s="666"/>
      <c r="Y140" s="522"/>
      <c r="Z140" s="522"/>
      <c r="AA140" s="522"/>
      <c r="AB140" s="522"/>
    </row>
    <row r="141" spans="1:28" ht="45" x14ac:dyDescent="0.25">
      <c r="A141" s="646" t="s">
        <v>629</v>
      </c>
      <c r="B141" s="7">
        <f>IF(  AND(ISNUMBER(C141),OR(ISNUMBER(D141),D141="PG")),IF(IF(Capa!$B$6="B",0,Capa!$B$6)&gt;=C141,1,0),"")</f>
        <v>1</v>
      </c>
      <c r="C141" s="6">
        <f t="shared" si="16"/>
        <v>0</v>
      </c>
      <c r="D141" s="647">
        <v>405</v>
      </c>
      <c r="E141" s="352" t="s">
        <v>632</v>
      </c>
      <c r="F141" s="513"/>
      <c r="G141" s="468"/>
      <c r="H141" s="241"/>
      <c r="I141" s="29"/>
      <c r="J141" s="425">
        <f t="shared" ref="J141:J152" si="17">LEN(K141)</f>
        <v>0</v>
      </c>
      <c r="K141" s="471"/>
      <c r="L141" s="697" t="str">
        <f t="shared" ref="L141:L152" si="18">IF(OR(I141="N",I141="P"),1,"")</f>
        <v/>
      </c>
      <c r="M141" s="719"/>
      <c r="N141" s="720"/>
      <c r="O141" s="720"/>
      <c r="P141" s="720"/>
      <c r="Q141" s="720"/>
      <c r="R141" s="720"/>
      <c r="S141" s="720"/>
      <c r="T141" s="721"/>
      <c r="U141" s="71"/>
      <c r="V141" s="464"/>
      <c r="W141" s="476"/>
      <c r="X141" s="522"/>
      <c r="Y141" s="522"/>
      <c r="Z141" s="522"/>
      <c r="AA141" s="522"/>
      <c r="AB141" s="522"/>
    </row>
    <row r="142" spans="1:28" ht="45" x14ac:dyDescent="0.25">
      <c r="A142" s="646" t="s">
        <v>629</v>
      </c>
      <c r="B142" s="7">
        <f>IF(  AND(ISNUMBER(C142),OR(ISNUMBER(D142),D142="PG")),IF(IF(Capa!$B$6="B",0,Capa!$B$6)&gt;=C142,1,0),"")</f>
        <v>1</v>
      </c>
      <c r="C142" s="6">
        <f t="shared" si="16"/>
        <v>0</v>
      </c>
      <c r="D142" s="647">
        <v>406</v>
      </c>
      <c r="E142" s="352" t="s">
        <v>633</v>
      </c>
      <c r="F142" s="513"/>
      <c r="G142" s="468"/>
      <c r="H142" s="241"/>
      <c r="I142" s="29"/>
      <c r="J142" s="425">
        <f t="shared" si="17"/>
        <v>0</v>
      </c>
      <c r="K142" s="471"/>
      <c r="L142" s="697" t="str">
        <f t="shared" si="18"/>
        <v/>
      </c>
      <c r="M142" s="719"/>
      <c r="N142" s="720"/>
      <c r="O142" s="720"/>
      <c r="P142" s="720"/>
      <c r="Q142" s="720"/>
      <c r="R142" s="720"/>
      <c r="S142" s="720"/>
      <c r="T142" s="721"/>
      <c r="U142" s="71"/>
      <c r="V142" s="464"/>
      <c r="W142" s="476"/>
      <c r="X142" s="522"/>
      <c r="Y142" s="522"/>
      <c r="Z142" s="522"/>
      <c r="AA142" s="522"/>
      <c r="AB142" s="522"/>
    </row>
    <row r="143" spans="1:28" ht="7.35" customHeight="1" x14ac:dyDescent="0.25">
      <c r="A143" s="646" t="s">
        <v>629</v>
      </c>
      <c r="B143" s="7" t="str">
        <f>IF(  AND(ISNUMBER(C143),OR(ISNUMBER(D143),D143="PG")),IF(IF(Capa!$B$6="B",0,Capa!$B$6)&gt;=C143,1,0),"")</f>
        <v/>
      </c>
      <c r="C143" s="6">
        <f t="shared" si="16"/>
        <v>1</v>
      </c>
      <c r="D143" s="647" t="s">
        <v>62</v>
      </c>
      <c r="E143" s="405"/>
      <c r="F143" s="513"/>
      <c r="G143" s="468"/>
      <c r="H143" s="241"/>
      <c r="I143" s="29"/>
      <c r="J143" s="425">
        <f t="shared" si="17"/>
        <v>0</v>
      </c>
      <c r="K143" s="471"/>
      <c r="L143" s="697" t="str">
        <f t="shared" si="18"/>
        <v/>
      </c>
      <c r="M143" s="719"/>
      <c r="N143" s="720"/>
      <c r="O143" s="720"/>
      <c r="P143" s="720"/>
      <c r="Q143" s="720"/>
      <c r="R143" s="720"/>
      <c r="S143" s="720"/>
      <c r="T143" s="721"/>
      <c r="U143" s="71"/>
      <c r="V143" s="464"/>
      <c r="W143" s="476"/>
      <c r="X143" s="522"/>
      <c r="Y143" s="522"/>
      <c r="Z143" s="522"/>
      <c r="AA143" s="522"/>
      <c r="AB143" s="522"/>
    </row>
    <row r="144" spans="1:28" ht="45" x14ac:dyDescent="0.25">
      <c r="A144" s="646" t="s">
        <v>629</v>
      </c>
      <c r="B144" s="7">
        <f>IF(  AND(ISNUMBER(C144),OR(ISNUMBER(D144),D144="PG")),IF(IF(Capa!$B$6="B",0,Capa!$B$6)&gt;=C144,1,0),"")</f>
        <v>0</v>
      </c>
      <c r="C144" s="6">
        <f t="shared" si="16"/>
        <v>1</v>
      </c>
      <c r="D144" s="647">
        <v>407</v>
      </c>
      <c r="E144" s="352" t="s">
        <v>634</v>
      </c>
      <c r="F144" s="513"/>
      <c r="G144" s="468"/>
      <c r="H144" s="241"/>
      <c r="I144" s="29"/>
      <c r="J144" s="425">
        <f t="shared" si="17"/>
        <v>0</v>
      </c>
      <c r="K144" s="471"/>
      <c r="L144" s="697" t="str">
        <f t="shared" si="18"/>
        <v/>
      </c>
      <c r="M144" s="719"/>
      <c r="N144" s="720"/>
      <c r="O144" s="720"/>
      <c r="P144" s="720"/>
      <c r="Q144" s="720"/>
      <c r="R144" s="720"/>
      <c r="S144" s="720"/>
      <c r="T144" s="721"/>
      <c r="U144" s="71"/>
      <c r="V144" s="464"/>
      <c r="W144" s="476"/>
      <c r="X144" s="522"/>
      <c r="Y144" s="522"/>
      <c r="Z144" s="522"/>
      <c r="AA144" s="522"/>
      <c r="AB144" s="522"/>
    </row>
    <row r="145" spans="1:28" ht="30" x14ac:dyDescent="0.25">
      <c r="A145" s="646" t="s">
        <v>629</v>
      </c>
      <c r="B145" s="7">
        <f>IF(  AND(ISNUMBER(C145),OR(ISNUMBER(D145),D145="PG")),IF(IF(Capa!$B$6="B",0,Capa!$B$6)&gt;=C145,1,0),"")</f>
        <v>0</v>
      </c>
      <c r="C145" s="6">
        <f t="shared" si="16"/>
        <v>1</v>
      </c>
      <c r="D145" s="647">
        <v>408</v>
      </c>
      <c r="E145" s="352" t="s">
        <v>635</v>
      </c>
      <c r="F145" s="513"/>
      <c r="G145" s="468"/>
      <c r="H145" s="241"/>
      <c r="I145" s="29"/>
      <c r="J145" s="425">
        <f t="shared" si="17"/>
        <v>0</v>
      </c>
      <c r="K145" s="471"/>
      <c r="L145" s="697" t="str">
        <f t="shared" si="18"/>
        <v/>
      </c>
      <c r="M145" s="719"/>
      <c r="N145" s="720"/>
      <c r="O145" s="720"/>
      <c r="P145" s="720"/>
      <c r="Q145" s="720"/>
      <c r="R145" s="720"/>
      <c r="S145" s="720"/>
      <c r="T145" s="721"/>
      <c r="U145" s="71"/>
      <c r="V145" s="464"/>
      <c r="W145" s="476"/>
      <c r="X145" s="522"/>
      <c r="Y145" s="522"/>
      <c r="Z145" s="522"/>
      <c r="AA145" s="522"/>
      <c r="AB145" s="522"/>
    </row>
    <row r="146" spans="1:28" ht="7.7" customHeight="1" x14ac:dyDescent="0.25">
      <c r="A146" s="646" t="s">
        <v>629</v>
      </c>
      <c r="B146" s="7" t="str">
        <f>IF(  AND(ISNUMBER(C146),OR(ISNUMBER(D146),D146="PG")),IF(IF(Capa!$B$6="B",0,Capa!$B$6)&gt;=C146,1,0),"")</f>
        <v/>
      </c>
      <c r="C146" s="6">
        <f t="shared" si="16"/>
        <v>2</v>
      </c>
      <c r="D146" s="647" t="s">
        <v>64</v>
      </c>
      <c r="E146" s="405"/>
      <c r="F146" s="513"/>
      <c r="G146" s="468"/>
      <c r="H146" s="241"/>
      <c r="I146" s="29"/>
      <c r="J146" s="425">
        <f t="shared" si="17"/>
        <v>0</v>
      </c>
      <c r="K146" s="471"/>
      <c r="L146" s="697" t="str">
        <f t="shared" si="18"/>
        <v/>
      </c>
      <c r="M146" s="719"/>
      <c r="N146" s="720"/>
      <c r="O146" s="720"/>
      <c r="P146" s="720"/>
      <c r="Q146" s="720"/>
      <c r="R146" s="720"/>
      <c r="S146" s="720"/>
      <c r="T146" s="721"/>
      <c r="U146" s="71"/>
      <c r="V146" s="464"/>
      <c r="W146" s="476"/>
      <c r="X146" s="522"/>
      <c r="Y146" s="522"/>
      <c r="Z146" s="522"/>
      <c r="AA146" s="522"/>
      <c r="AB146" s="522"/>
    </row>
    <row r="147" spans="1:28" ht="30" x14ac:dyDescent="0.25">
      <c r="A147" s="646" t="s">
        <v>629</v>
      </c>
      <c r="B147" s="7">
        <f>IF(  AND(ISNUMBER(C147),OR(ISNUMBER(D147),D147="PG")),IF(IF(Capa!$B$6="B",0,Capa!$B$6)&gt;=C147,1,0),"")</f>
        <v>0</v>
      </c>
      <c r="C147" s="6">
        <f t="shared" si="16"/>
        <v>2</v>
      </c>
      <c r="D147" s="647">
        <v>409</v>
      </c>
      <c r="E147" s="352" t="s">
        <v>636</v>
      </c>
      <c r="F147" s="513"/>
      <c r="G147" s="468"/>
      <c r="H147" s="241"/>
      <c r="I147" s="29"/>
      <c r="J147" s="425">
        <f t="shared" si="17"/>
        <v>0</v>
      </c>
      <c r="K147" s="471"/>
      <c r="L147" s="697" t="str">
        <f t="shared" si="18"/>
        <v/>
      </c>
      <c r="M147" s="719"/>
      <c r="N147" s="720"/>
      <c r="O147" s="720"/>
      <c r="P147" s="720"/>
      <c r="Q147" s="720"/>
      <c r="R147" s="720"/>
      <c r="S147" s="720"/>
      <c r="T147" s="721"/>
      <c r="U147" s="71"/>
      <c r="V147" s="464"/>
      <c r="W147" s="476"/>
      <c r="X147" s="522"/>
      <c r="Y147" s="522"/>
      <c r="Z147" s="522"/>
      <c r="AA147" s="522"/>
      <c r="AB147" s="522"/>
    </row>
    <row r="148" spans="1:28" ht="45" x14ac:dyDescent="0.25">
      <c r="A148" s="646" t="s">
        <v>629</v>
      </c>
      <c r="B148" s="7">
        <f>IF(  AND(ISNUMBER(C148),OR(ISNUMBER(D148),D148="PG")),IF(IF(Capa!$B$6="B",0,Capa!$B$6)&gt;=C148,1,0),"")</f>
        <v>0</v>
      </c>
      <c r="C148" s="6">
        <f t="shared" si="16"/>
        <v>2</v>
      </c>
      <c r="D148" s="647">
        <v>410</v>
      </c>
      <c r="E148" s="352" t="s">
        <v>637</v>
      </c>
      <c r="F148" s="513"/>
      <c r="G148" s="468"/>
      <c r="H148" s="241"/>
      <c r="I148" s="29"/>
      <c r="J148" s="425">
        <f t="shared" si="17"/>
        <v>0</v>
      </c>
      <c r="K148" s="471"/>
      <c r="L148" s="697" t="str">
        <f t="shared" si="18"/>
        <v/>
      </c>
      <c r="M148" s="719"/>
      <c r="N148" s="720"/>
      <c r="O148" s="720"/>
      <c r="P148" s="720"/>
      <c r="Q148" s="720"/>
      <c r="R148" s="720"/>
      <c r="S148" s="720"/>
      <c r="T148" s="721"/>
      <c r="U148" s="71"/>
      <c r="V148" s="464"/>
      <c r="W148" s="476"/>
      <c r="X148" s="522"/>
      <c r="Y148" s="522"/>
      <c r="Z148" s="522"/>
      <c r="AA148" s="522"/>
      <c r="AB148" s="522"/>
    </row>
    <row r="149" spans="1:28" ht="47.45" customHeight="1" x14ac:dyDescent="0.25">
      <c r="A149" s="646" t="s">
        <v>629</v>
      </c>
      <c r="B149" s="7">
        <f>IF(  AND(ISNUMBER(C149),OR(ISNUMBER(D149),D149="PG")),IF(IF(Capa!$B$6="B",0,Capa!$B$6)&gt;=C149,1,0),"")</f>
        <v>0</v>
      </c>
      <c r="C149" s="6">
        <f t="shared" si="16"/>
        <v>2</v>
      </c>
      <c r="D149" s="647">
        <v>411</v>
      </c>
      <c r="E149" s="352" t="s">
        <v>638</v>
      </c>
      <c r="F149" s="513"/>
      <c r="G149" s="468"/>
      <c r="H149" s="241"/>
      <c r="I149" s="29"/>
      <c r="J149" s="425">
        <f t="shared" si="17"/>
        <v>0</v>
      </c>
      <c r="K149" s="471"/>
      <c r="L149" s="697" t="str">
        <f t="shared" si="18"/>
        <v/>
      </c>
      <c r="M149" s="719"/>
      <c r="N149" s="720"/>
      <c r="O149" s="720"/>
      <c r="P149" s="720"/>
      <c r="Q149" s="720"/>
      <c r="R149" s="720"/>
      <c r="S149" s="720"/>
      <c r="T149" s="721"/>
      <c r="U149" s="71"/>
      <c r="V149" s="464"/>
      <c r="W149" s="476"/>
      <c r="X149" s="522"/>
      <c r="Y149" s="522"/>
      <c r="Z149" s="522"/>
      <c r="AA149" s="522"/>
      <c r="AB149" s="522"/>
    </row>
    <row r="150" spans="1:28" ht="48.75" customHeight="1" x14ac:dyDescent="0.25">
      <c r="A150" s="646" t="s">
        <v>629</v>
      </c>
      <c r="B150" s="7">
        <f>IF(  AND(ISNUMBER(C150),OR(ISNUMBER(D150),D150="PG")),IF(IF(Capa!$B$6="B",0,Capa!$B$6)&gt;=C150,1,0),"")</f>
        <v>0</v>
      </c>
      <c r="C150" s="6">
        <f t="shared" si="16"/>
        <v>2</v>
      </c>
      <c r="D150" s="647">
        <v>412</v>
      </c>
      <c r="E150" s="411" t="s">
        <v>639</v>
      </c>
      <c r="F150" s="513"/>
      <c r="G150" s="468"/>
      <c r="H150" s="241"/>
      <c r="I150" s="29"/>
      <c r="J150" s="425">
        <f t="shared" si="17"/>
        <v>0</v>
      </c>
      <c r="K150" s="471"/>
      <c r="L150" s="697" t="str">
        <f t="shared" si="18"/>
        <v/>
      </c>
      <c r="M150" s="719"/>
      <c r="N150" s="720"/>
      <c r="O150" s="720"/>
      <c r="P150" s="720"/>
      <c r="Q150" s="720"/>
      <c r="R150" s="720"/>
      <c r="S150" s="720"/>
      <c r="T150" s="721"/>
      <c r="U150" s="71"/>
      <c r="V150" s="464"/>
      <c r="W150" s="476"/>
      <c r="X150" s="522"/>
      <c r="Y150" s="522"/>
      <c r="Z150" s="522"/>
      <c r="AA150" s="522"/>
      <c r="AB150" s="522"/>
    </row>
    <row r="151" spans="1:28" ht="6.6" customHeight="1" x14ac:dyDescent="0.25">
      <c r="A151" s="646" t="s">
        <v>629</v>
      </c>
      <c r="B151" s="7" t="str">
        <f>IF(  AND(ISNUMBER(C151),OR(ISNUMBER(D151),D151="PG")),IF(IF(Capa!$B$6="B",0,Capa!$B$6)&gt;=C151,1,0),"")</f>
        <v/>
      </c>
      <c r="C151" s="6">
        <f t="shared" si="16"/>
        <v>3</v>
      </c>
      <c r="D151" s="647" t="s">
        <v>70</v>
      </c>
      <c r="E151" s="405"/>
      <c r="F151" s="513"/>
      <c r="G151" s="468"/>
      <c r="H151" s="241"/>
      <c r="I151" s="29"/>
      <c r="J151" s="425">
        <f t="shared" si="17"/>
        <v>0</v>
      </c>
      <c r="K151" s="471"/>
      <c r="L151" s="697" t="str">
        <f t="shared" si="18"/>
        <v/>
      </c>
      <c r="M151" s="719"/>
      <c r="N151" s="720"/>
      <c r="O151" s="720"/>
      <c r="P151" s="720"/>
      <c r="Q151" s="720"/>
      <c r="R151" s="720"/>
      <c r="S151" s="720"/>
      <c r="T151" s="721"/>
      <c r="U151" s="71"/>
      <c r="V151" s="464"/>
      <c r="W151" s="476"/>
      <c r="X151" s="522"/>
      <c r="Y151" s="522"/>
      <c r="Z151" s="522"/>
      <c r="AA151" s="522"/>
      <c r="AB151" s="522"/>
    </row>
    <row r="152" spans="1:28" ht="64.5" customHeight="1" x14ac:dyDescent="0.25">
      <c r="A152" s="646" t="s">
        <v>629</v>
      </c>
      <c r="B152" s="7">
        <f>IF(  AND(ISNUMBER(C152),OR(ISNUMBER(D152),D152="PG")),IF(IF(Capa!$B$6="B",0,Capa!$B$6)&gt;=C152,1,0),"")</f>
        <v>0</v>
      </c>
      <c r="C152" s="6">
        <f t="shared" si="16"/>
        <v>3</v>
      </c>
      <c r="D152" s="649">
        <v>413</v>
      </c>
      <c r="E152" s="412" t="s">
        <v>640</v>
      </c>
      <c r="F152" s="513"/>
      <c r="G152" s="468"/>
      <c r="H152" s="241"/>
      <c r="I152" s="29"/>
      <c r="J152" s="425">
        <f t="shared" si="17"/>
        <v>0</v>
      </c>
      <c r="K152" s="471"/>
      <c r="L152" s="697" t="str">
        <f t="shared" si="18"/>
        <v/>
      </c>
      <c r="M152" s="719"/>
      <c r="N152" s="720"/>
      <c r="O152" s="720"/>
      <c r="P152" s="720"/>
      <c r="Q152" s="720"/>
      <c r="R152" s="720"/>
      <c r="S152" s="720"/>
      <c r="T152" s="721"/>
      <c r="U152" s="71"/>
      <c r="V152" s="464"/>
      <c r="W152" s="477"/>
      <c r="X152" s="522"/>
      <c r="Y152" s="522"/>
      <c r="Z152" s="522"/>
      <c r="AA152" s="522"/>
      <c r="AB152" s="522"/>
    </row>
    <row r="153" spans="1:28" ht="8.1" customHeight="1" x14ac:dyDescent="0.25">
      <c r="B153" s="7" t="str">
        <f>IF(  AND(ISNUMBER(C153),OR(ISNUMBER(D153),D153="PG")),IF(IF(Capa!$B$6="B",0,Capa!$B$6)&gt;=C153,1,0),"")</f>
        <v/>
      </c>
      <c r="C153" s="118" t="str">
        <f t="shared" ref="C153" si="19">IF(ISBLANK(D153),"",IF(ISERR(SEARCH(D153&amp;"\","&lt;B&gt;\&lt;1&gt;\&lt;2&gt;\&lt;3&gt;\")),IF(AND(NOT(ISBLANK(C152)),C152&lt;=3),C152,""),
IF(SEARCH(D153&amp;"\","&lt;B&gt;\&lt;1&gt;\&lt;2&gt;\&lt;3&gt;\")=1,0,IF(SEARCH(D153&amp;"\","&lt;B&gt;\&lt;1&gt;\&lt;2&gt;\&lt;3&gt;\")=5,1,IF(SEARCH(D153&amp;"\","&lt;B&gt;\&lt;1&gt;\&lt;2&gt;\&lt;3&gt;\")=9,2,IF(SEARCH(D153&amp;"\","&lt;B&gt;\&lt;1&gt;\&lt;2&gt;\&lt;3&gt;\")=13,3,""))))))</f>
        <v/>
      </c>
      <c r="D153" s="122"/>
      <c r="E153" s="291"/>
      <c r="F153" s="123"/>
      <c r="G153" s="227"/>
      <c r="H153" s="227"/>
      <c r="I153" s="123"/>
      <c r="J153" s="227"/>
      <c r="K153" s="245"/>
      <c r="L153" s="576"/>
      <c r="M153" s="129"/>
      <c r="N153" s="129"/>
      <c r="O153" s="129"/>
      <c r="P153" s="129"/>
      <c r="Q153" s="129"/>
      <c r="R153" s="129"/>
      <c r="S153" s="247"/>
      <c r="T153" s="247"/>
      <c r="U153" s="282"/>
      <c r="V153" s="547"/>
      <c r="W153" s="125"/>
      <c r="X153" s="522"/>
      <c r="Y153" s="522"/>
      <c r="Z153" s="522"/>
      <c r="AA153" s="522"/>
      <c r="AB153" s="522"/>
    </row>
    <row r="154" spans="1:28" s="214" customFormat="1" x14ac:dyDescent="0.25">
      <c r="A154" s="266"/>
      <c r="B154" s="266"/>
      <c r="C154" s="54"/>
      <c r="D154" s="267"/>
      <c r="E154" s="406"/>
      <c r="F154" s="55"/>
      <c r="G154" s="269"/>
      <c r="H154" s="269"/>
      <c r="I154" s="55"/>
      <c r="J154" s="269"/>
      <c r="K154" s="270"/>
      <c r="L154" s="269"/>
      <c r="M154" s="62"/>
      <c r="N154" s="62"/>
      <c r="O154" s="62"/>
      <c r="P154" s="62"/>
      <c r="Q154" s="62"/>
      <c r="R154" s="62"/>
      <c r="W154" s="60"/>
    </row>
    <row r="155" spans="1:28" s="214" customFormat="1" x14ac:dyDescent="0.25">
      <c r="A155" s="266"/>
      <c r="B155" s="266"/>
      <c r="C155" s="54"/>
      <c r="D155" s="267"/>
      <c r="E155" s="268"/>
      <c r="F155" s="55"/>
      <c r="G155" s="269"/>
      <c r="H155" s="269"/>
      <c r="I155" s="55"/>
      <c r="J155" s="269"/>
      <c r="K155" s="270"/>
      <c r="L155" s="269"/>
      <c r="M155" s="62"/>
      <c r="N155" s="62"/>
      <c r="O155" s="62"/>
      <c r="P155" s="62"/>
      <c r="Q155" s="62"/>
      <c r="R155" s="62"/>
      <c r="W155" s="60"/>
    </row>
    <row r="156" spans="1:28" s="214" customFormat="1" x14ac:dyDescent="0.25">
      <c r="A156" s="266"/>
      <c r="B156" s="266"/>
      <c r="C156" s="54"/>
      <c r="D156" s="267"/>
      <c r="E156" s="268"/>
      <c r="F156" s="55"/>
      <c r="G156" s="269"/>
      <c r="H156" s="269"/>
      <c r="I156" s="55"/>
      <c r="J156" s="269"/>
      <c r="K156" s="270"/>
      <c r="L156" s="269"/>
      <c r="M156" s="62"/>
      <c r="N156" s="62"/>
      <c r="O156" s="62"/>
      <c r="P156" s="62"/>
      <c r="Q156" s="62"/>
      <c r="R156" s="62"/>
      <c r="W156" s="60"/>
    </row>
    <row r="157" spans="1:28" s="214" customFormat="1" x14ac:dyDescent="0.25">
      <c r="A157" s="266"/>
      <c r="B157" s="266"/>
      <c r="C157" s="54"/>
      <c r="D157" s="267"/>
      <c r="E157" s="268"/>
      <c r="F157" s="55"/>
      <c r="G157" s="269"/>
      <c r="H157" s="269"/>
      <c r="I157" s="55"/>
      <c r="J157" s="269"/>
      <c r="K157" s="270"/>
      <c r="L157" s="269"/>
      <c r="M157" s="62"/>
      <c r="N157" s="62"/>
      <c r="O157" s="62"/>
      <c r="P157" s="62"/>
      <c r="Q157" s="62"/>
      <c r="R157" s="62"/>
      <c r="W157" s="60"/>
    </row>
    <row r="158" spans="1:28" s="214" customFormat="1" x14ac:dyDescent="0.25">
      <c r="A158" s="266"/>
      <c r="B158" s="266"/>
      <c r="C158" s="54"/>
      <c r="D158" s="267"/>
      <c r="E158" s="268"/>
      <c r="F158" s="55"/>
      <c r="G158" s="269"/>
      <c r="H158" s="269"/>
      <c r="I158" s="55"/>
      <c r="J158" s="269"/>
      <c r="K158" s="270"/>
      <c r="L158" s="269"/>
      <c r="M158" s="62"/>
      <c r="N158" s="62"/>
      <c r="O158" s="62"/>
      <c r="P158" s="62"/>
      <c r="Q158" s="62"/>
      <c r="R158" s="62"/>
      <c r="W158" s="60"/>
    </row>
    <row r="159" spans="1:28" s="214" customFormat="1" x14ac:dyDescent="0.25">
      <c r="A159" s="266"/>
      <c r="B159" s="266"/>
      <c r="C159" s="54"/>
      <c r="D159" s="267"/>
      <c r="E159" s="268"/>
      <c r="F159" s="55"/>
      <c r="G159" s="269"/>
      <c r="H159" s="269"/>
      <c r="I159" s="55"/>
      <c r="J159" s="269"/>
      <c r="K159" s="270"/>
      <c r="L159" s="269"/>
      <c r="M159" s="62"/>
      <c r="N159" s="62"/>
      <c r="O159" s="62"/>
      <c r="P159" s="62"/>
      <c r="Q159" s="62"/>
      <c r="R159" s="62"/>
      <c r="W159" s="60"/>
    </row>
    <row r="160" spans="1:28" s="214" customFormat="1" x14ac:dyDescent="0.25">
      <c r="A160" s="266"/>
      <c r="B160" s="266"/>
      <c r="C160" s="54"/>
      <c r="D160" s="267"/>
      <c r="E160" s="268"/>
      <c r="F160" s="55"/>
      <c r="G160" s="269"/>
      <c r="H160" s="269"/>
      <c r="I160" s="55"/>
      <c r="J160" s="269"/>
      <c r="K160" s="270"/>
      <c r="L160" s="269"/>
      <c r="M160" s="62"/>
      <c r="N160" s="62"/>
      <c r="O160" s="62"/>
      <c r="P160" s="62"/>
      <c r="Q160" s="62"/>
      <c r="R160" s="62"/>
      <c r="W160" s="60"/>
    </row>
    <row r="161" spans="1:23" s="214" customFormat="1" x14ac:dyDescent="0.25">
      <c r="A161" s="266"/>
      <c r="B161" s="266"/>
      <c r="C161" s="54"/>
      <c r="D161" s="267"/>
      <c r="E161" s="268"/>
      <c r="F161" s="55"/>
      <c r="G161" s="269"/>
      <c r="H161" s="269"/>
      <c r="I161" s="55"/>
      <c r="J161" s="269"/>
      <c r="K161" s="270"/>
      <c r="L161" s="269"/>
      <c r="M161" s="62"/>
      <c r="N161" s="62"/>
      <c r="O161" s="62"/>
      <c r="P161" s="62"/>
      <c r="Q161" s="62"/>
      <c r="R161" s="62"/>
      <c r="W161" s="60"/>
    </row>
    <row r="162" spans="1:23" s="214" customFormat="1" x14ac:dyDescent="0.25">
      <c r="A162" s="266"/>
      <c r="B162" s="266"/>
      <c r="C162" s="54"/>
      <c r="D162" s="267"/>
      <c r="E162" s="268"/>
      <c r="F162" s="55"/>
      <c r="G162" s="269"/>
      <c r="H162" s="269"/>
      <c r="I162" s="55"/>
      <c r="J162" s="269"/>
      <c r="K162" s="270"/>
      <c r="L162" s="269"/>
      <c r="M162" s="62"/>
      <c r="N162" s="62"/>
      <c r="O162" s="62"/>
      <c r="P162" s="62"/>
      <c r="Q162" s="62"/>
      <c r="R162" s="62"/>
      <c r="W162" s="60"/>
    </row>
    <row r="163" spans="1:23" s="214" customFormat="1" x14ac:dyDescent="0.25">
      <c r="A163" s="266"/>
      <c r="B163" s="266"/>
      <c r="C163" s="54"/>
      <c r="D163" s="267"/>
      <c r="E163" s="268"/>
      <c r="F163" s="55"/>
      <c r="G163" s="269"/>
      <c r="H163" s="269"/>
      <c r="I163" s="55"/>
      <c r="J163" s="269"/>
      <c r="K163" s="270"/>
      <c r="L163" s="269"/>
      <c r="M163" s="62"/>
      <c r="N163" s="62"/>
      <c r="O163" s="62"/>
      <c r="P163" s="62"/>
      <c r="Q163" s="62"/>
      <c r="R163" s="62"/>
      <c r="W163" s="60"/>
    </row>
    <row r="164" spans="1:23" s="214" customFormat="1" x14ac:dyDescent="0.25">
      <c r="A164" s="266"/>
      <c r="B164" s="266"/>
      <c r="C164" s="54"/>
      <c r="D164" s="267"/>
      <c r="E164" s="268"/>
      <c r="F164" s="55"/>
      <c r="G164" s="269"/>
      <c r="H164" s="269"/>
      <c r="I164" s="55"/>
      <c r="J164" s="269"/>
      <c r="K164" s="270"/>
      <c r="L164" s="269"/>
      <c r="M164" s="62"/>
      <c r="N164" s="62"/>
      <c r="O164" s="62"/>
      <c r="P164" s="62"/>
      <c r="Q164" s="62"/>
      <c r="R164" s="62"/>
      <c r="W164" s="60"/>
    </row>
    <row r="165" spans="1:23" s="214" customFormat="1" x14ac:dyDescent="0.25">
      <c r="A165" s="266"/>
      <c r="B165" s="266"/>
      <c r="C165" s="54"/>
      <c r="D165" s="267"/>
      <c r="E165" s="268"/>
      <c r="F165" s="55"/>
      <c r="G165" s="269"/>
      <c r="H165" s="269"/>
      <c r="I165" s="55"/>
      <c r="J165" s="269"/>
      <c r="K165" s="270"/>
      <c r="L165" s="269"/>
      <c r="M165" s="62"/>
      <c r="N165" s="62"/>
      <c r="O165" s="62"/>
      <c r="P165" s="62"/>
      <c r="Q165" s="62"/>
      <c r="R165" s="62"/>
      <c r="W165" s="60"/>
    </row>
    <row r="166" spans="1:23" s="214" customFormat="1" x14ac:dyDescent="0.25">
      <c r="A166" s="266"/>
      <c r="B166" s="266"/>
      <c r="C166" s="54"/>
      <c r="D166" s="267"/>
      <c r="E166" s="268"/>
      <c r="F166" s="55"/>
      <c r="G166" s="269"/>
      <c r="H166" s="269"/>
      <c r="I166" s="55"/>
      <c r="J166" s="269"/>
      <c r="K166" s="270"/>
      <c r="L166" s="269"/>
      <c r="M166" s="62"/>
      <c r="N166" s="62"/>
      <c r="O166" s="62"/>
      <c r="P166" s="62"/>
      <c r="Q166" s="62"/>
      <c r="R166" s="62"/>
      <c r="W166" s="60"/>
    </row>
    <row r="167" spans="1:23" s="214" customFormat="1" x14ac:dyDescent="0.25">
      <c r="A167" s="266"/>
      <c r="B167" s="266"/>
      <c r="C167" s="54"/>
      <c r="D167" s="267"/>
      <c r="E167" s="268"/>
      <c r="F167" s="55"/>
      <c r="G167" s="269"/>
      <c r="H167" s="269"/>
      <c r="I167" s="55"/>
      <c r="J167" s="269"/>
      <c r="K167" s="270"/>
      <c r="L167" s="269"/>
      <c r="M167" s="62"/>
      <c r="N167" s="62"/>
      <c r="O167" s="62"/>
      <c r="P167" s="62"/>
      <c r="Q167" s="62"/>
      <c r="R167" s="62"/>
      <c r="W167" s="60"/>
    </row>
    <row r="168" spans="1:23" s="214" customFormat="1" x14ac:dyDescent="0.25">
      <c r="A168" s="266"/>
      <c r="B168" s="266"/>
      <c r="C168" s="54"/>
      <c r="D168" s="267"/>
      <c r="E168" s="268"/>
      <c r="F168" s="55"/>
      <c r="G168" s="269"/>
      <c r="H168" s="269"/>
      <c r="I168" s="55"/>
      <c r="J168" s="269"/>
      <c r="K168" s="270"/>
      <c r="L168" s="269"/>
      <c r="M168" s="62"/>
      <c r="N168" s="62"/>
      <c r="O168" s="62"/>
      <c r="P168" s="62"/>
      <c r="Q168" s="62"/>
      <c r="R168" s="62"/>
      <c r="W168" s="60"/>
    </row>
    <row r="169" spans="1:23" s="214" customFormat="1" x14ac:dyDescent="0.25">
      <c r="A169" s="266"/>
      <c r="B169" s="266"/>
      <c r="C169" s="54"/>
      <c r="D169" s="267"/>
      <c r="E169" s="268"/>
      <c r="F169" s="55"/>
      <c r="G169" s="269"/>
      <c r="H169" s="269"/>
      <c r="I169" s="55"/>
      <c r="J169" s="269"/>
      <c r="K169" s="270"/>
      <c r="L169" s="269"/>
      <c r="M169" s="62"/>
      <c r="N169" s="62"/>
      <c r="O169" s="62"/>
      <c r="P169" s="62"/>
      <c r="Q169" s="62"/>
      <c r="R169" s="62"/>
      <c r="W169" s="60"/>
    </row>
    <row r="170" spans="1:23" s="214" customFormat="1" x14ac:dyDescent="0.25">
      <c r="A170" s="266"/>
      <c r="B170" s="266"/>
      <c r="C170" s="54"/>
      <c r="D170" s="267"/>
      <c r="E170" s="268"/>
      <c r="F170" s="55"/>
      <c r="G170" s="269"/>
      <c r="H170" s="269"/>
      <c r="I170" s="55"/>
      <c r="J170" s="269"/>
      <c r="K170" s="270"/>
      <c r="L170" s="269"/>
      <c r="M170" s="62"/>
      <c r="N170" s="62"/>
      <c r="O170" s="62"/>
      <c r="P170" s="62"/>
      <c r="Q170" s="62"/>
      <c r="R170" s="62"/>
      <c r="W170" s="60"/>
    </row>
    <row r="171" spans="1:23" s="214" customFormat="1" x14ac:dyDescent="0.25">
      <c r="A171" s="266"/>
      <c r="B171" s="266"/>
      <c r="C171" s="54"/>
      <c r="D171" s="267"/>
      <c r="E171" s="268"/>
      <c r="F171" s="55"/>
      <c r="G171" s="269"/>
      <c r="H171" s="269"/>
      <c r="I171" s="55"/>
      <c r="J171" s="269"/>
      <c r="K171" s="270"/>
      <c r="L171" s="269"/>
      <c r="M171" s="62"/>
      <c r="N171" s="62"/>
      <c r="O171" s="62"/>
      <c r="P171" s="62"/>
      <c r="Q171" s="62"/>
      <c r="R171" s="62"/>
      <c r="W171" s="60"/>
    </row>
    <row r="172" spans="1:23" s="214" customFormat="1" x14ac:dyDescent="0.25">
      <c r="A172" s="266"/>
      <c r="B172" s="266"/>
      <c r="C172" s="54"/>
      <c r="D172" s="267"/>
      <c r="E172" s="268"/>
      <c r="F172" s="55"/>
      <c r="G172" s="269"/>
      <c r="H172" s="269"/>
      <c r="I172" s="55"/>
      <c r="J172" s="269"/>
      <c r="K172" s="270"/>
      <c r="L172" s="269"/>
      <c r="M172" s="62"/>
      <c r="N172" s="62"/>
      <c r="O172" s="62"/>
      <c r="P172" s="62"/>
      <c r="Q172" s="62"/>
      <c r="R172" s="62"/>
      <c r="W172" s="60"/>
    </row>
    <row r="173" spans="1:23" s="214" customFormat="1" x14ac:dyDescent="0.25">
      <c r="A173" s="266"/>
      <c r="B173" s="266"/>
      <c r="C173" s="54"/>
      <c r="D173" s="267"/>
      <c r="E173" s="268"/>
      <c r="F173" s="55"/>
      <c r="G173" s="269"/>
      <c r="H173" s="269"/>
      <c r="I173" s="55"/>
      <c r="J173" s="269"/>
      <c r="K173" s="270"/>
      <c r="L173" s="269"/>
      <c r="M173" s="62"/>
      <c r="N173" s="62"/>
      <c r="O173" s="62"/>
      <c r="P173" s="62"/>
      <c r="Q173" s="62"/>
      <c r="R173" s="62"/>
      <c r="W173" s="60"/>
    </row>
    <row r="174" spans="1:23" s="214" customFormat="1" x14ac:dyDescent="0.25">
      <c r="A174" s="266"/>
      <c r="B174" s="266"/>
      <c r="C174" s="54"/>
      <c r="D174" s="267"/>
      <c r="E174" s="268"/>
      <c r="F174" s="55"/>
      <c r="G174" s="269"/>
      <c r="H174" s="269"/>
      <c r="I174" s="55"/>
      <c r="J174" s="269"/>
      <c r="K174" s="270"/>
      <c r="L174" s="269"/>
      <c r="M174" s="62"/>
      <c r="N174" s="62"/>
      <c r="O174" s="62"/>
      <c r="P174" s="62"/>
      <c r="Q174" s="62"/>
      <c r="R174" s="62"/>
      <c r="W174" s="60"/>
    </row>
    <row r="175" spans="1:23" s="214" customFormat="1" x14ac:dyDescent="0.25">
      <c r="A175" s="266"/>
      <c r="B175" s="266"/>
      <c r="C175" s="54"/>
      <c r="D175" s="267"/>
      <c r="E175" s="268"/>
      <c r="F175" s="55"/>
      <c r="G175" s="269"/>
      <c r="H175" s="269"/>
      <c r="I175" s="55"/>
      <c r="J175" s="269"/>
      <c r="K175" s="270"/>
      <c r="L175" s="269"/>
      <c r="M175" s="62"/>
      <c r="N175" s="62"/>
      <c r="O175" s="62"/>
      <c r="P175" s="62"/>
      <c r="Q175" s="62"/>
      <c r="R175" s="62"/>
      <c r="W175" s="60"/>
    </row>
    <row r="176" spans="1:23" s="214" customFormat="1" x14ac:dyDescent="0.25">
      <c r="A176" s="266"/>
      <c r="B176" s="266"/>
      <c r="C176" s="54"/>
      <c r="D176" s="267"/>
      <c r="E176" s="268"/>
      <c r="F176" s="55"/>
      <c r="G176" s="269"/>
      <c r="H176" s="269"/>
      <c r="I176" s="55"/>
      <c r="J176" s="269"/>
      <c r="K176" s="270"/>
      <c r="L176" s="269"/>
      <c r="M176" s="62"/>
      <c r="N176" s="62"/>
      <c r="O176" s="62"/>
      <c r="P176" s="62"/>
      <c r="Q176" s="62"/>
      <c r="R176" s="62"/>
      <c r="W176" s="60"/>
    </row>
    <row r="177" spans="1:23" s="214" customFormat="1" x14ac:dyDescent="0.25">
      <c r="A177" s="266"/>
      <c r="B177" s="266"/>
      <c r="C177" s="54"/>
      <c r="D177" s="267"/>
      <c r="E177" s="268"/>
      <c r="F177" s="55"/>
      <c r="G177" s="269"/>
      <c r="H177" s="269"/>
      <c r="I177" s="55"/>
      <c r="J177" s="269"/>
      <c r="K177" s="270"/>
      <c r="L177" s="269"/>
      <c r="M177" s="62"/>
      <c r="N177" s="62"/>
      <c r="O177" s="62"/>
      <c r="P177" s="62"/>
      <c r="Q177" s="62"/>
      <c r="R177" s="62"/>
      <c r="W177" s="60"/>
    </row>
    <row r="178" spans="1:23" s="214" customFormat="1" x14ac:dyDescent="0.25">
      <c r="A178" s="266"/>
      <c r="B178" s="266"/>
      <c r="C178" s="54"/>
      <c r="D178" s="267"/>
      <c r="E178" s="268"/>
      <c r="F178" s="55"/>
      <c r="G178" s="269"/>
      <c r="H178" s="269"/>
      <c r="I178" s="55"/>
      <c r="J178" s="269"/>
      <c r="K178" s="270"/>
      <c r="L178" s="269"/>
      <c r="M178" s="62"/>
      <c r="N178" s="62"/>
      <c r="O178" s="62"/>
      <c r="P178" s="62"/>
      <c r="Q178" s="62"/>
      <c r="R178" s="62"/>
      <c r="W178" s="60"/>
    </row>
    <row r="179" spans="1:23" s="214" customFormat="1" x14ac:dyDescent="0.25">
      <c r="A179" s="266"/>
      <c r="B179" s="266"/>
      <c r="C179" s="54"/>
      <c r="D179" s="267"/>
      <c r="E179" s="268"/>
      <c r="F179" s="55"/>
      <c r="G179" s="269"/>
      <c r="H179" s="269"/>
      <c r="I179" s="55"/>
      <c r="J179" s="269"/>
      <c r="K179" s="270"/>
      <c r="L179" s="269"/>
      <c r="M179" s="62"/>
      <c r="N179" s="62"/>
      <c r="O179" s="62"/>
      <c r="P179" s="62"/>
      <c r="Q179" s="62"/>
      <c r="R179" s="62"/>
      <c r="W179" s="60"/>
    </row>
    <row r="180" spans="1:23" s="214" customFormat="1" x14ac:dyDescent="0.25">
      <c r="A180" s="266"/>
      <c r="B180" s="266"/>
      <c r="C180" s="54"/>
      <c r="D180" s="267"/>
      <c r="E180" s="268"/>
      <c r="F180" s="55"/>
      <c r="G180" s="269"/>
      <c r="H180" s="269"/>
      <c r="I180" s="55"/>
      <c r="J180" s="269"/>
      <c r="K180" s="270"/>
      <c r="L180" s="269"/>
      <c r="M180" s="62"/>
      <c r="N180" s="62"/>
      <c r="O180" s="62"/>
      <c r="P180" s="62"/>
      <c r="Q180" s="62"/>
      <c r="R180" s="62"/>
      <c r="W180" s="60"/>
    </row>
    <row r="181" spans="1:23" s="214" customFormat="1" x14ac:dyDescent="0.25">
      <c r="A181" s="266"/>
      <c r="B181" s="266"/>
      <c r="C181" s="54"/>
      <c r="D181" s="267"/>
      <c r="E181" s="268"/>
      <c r="F181" s="55"/>
      <c r="G181" s="269"/>
      <c r="H181" s="269"/>
      <c r="I181" s="55"/>
      <c r="J181" s="269"/>
      <c r="K181" s="270"/>
      <c r="L181" s="269"/>
      <c r="M181" s="62"/>
      <c r="N181" s="62"/>
      <c r="O181" s="62"/>
      <c r="P181" s="62"/>
      <c r="Q181" s="62"/>
      <c r="R181" s="62"/>
      <c r="W181" s="60"/>
    </row>
    <row r="182" spans="1:23" s="214" customFormat="1" x14ac:dyDescent="0.25">
      <c r="A182" s="266"/>
      <c r="B182" s="266"/>
      <c r="C182" s="54"/>
      <c r="D182" s="267"/>
      <c r="E182" s="268"/>
      <c r="F182" s="55"/>
      <c r="G182" s="269"/>
      <c r="H182" s="269"/>
      <c r="I182" s="55"/>
      <c r="J182" s="269"/>
      <c r="K182" s="270"/>
      <c r="L182" s="269"/>
      <c r="M182" s="62"/>
      <c r="N182" s="62"/>
      <c r="O182" s="62"/>
      <c r="P182" s="62"/>
      <c r="Q182" s="62"/>
      <c r="R182" s="62"/>
      <c r="W182" s="60"/>
    </row>
    <row r="183" spans="1:23" s="214" customFormat="1" x14ac:dyDescent="0.25">
      <c r="A183" s="266"/>
      <c r="B183" s="266"/>
      <c r="C183" s="54"/>
      <c r="D183" s="267"/>
      <c r="E183" s="268"/>
      <c r="F183" s="55"/>
      <c r="G183" s="269"/>
      <c r="H183" s="269"/>
      <c r="I183" s="55"/>
      <c r="J183" s="269"/>
      <c r="K183" s="270"/>
      <c r="L183" s="269"/>
      <c r="M183" s="62"/>
      <c r="N183" s="62"/>
      <c r="O183" s="62"/>
      <c r="P183" s="62"/>
      <c r="Q183" s="62"/>
      <c r="R183" s="62"/>
      <c r="W183" s="60"/>
    </row>
    <row r="184" spans="1:23" s="214" customFormat="1" x14ac:dyDescent="0.25">
      <c r="A184" s="266"/>
      <c r="B184" s="266"/>
      <c r="C184" s="54"/>
      <c r="D184" s="267"/>
      <c r="E184" s="268"/>
      <c r="F184" s="55"/>
      <c r="G184" s="269"/>
      <c r="H184" s="269"/>
      <c r="I184" s="55"/>
      <c r="J184" s="269"/>
      <c r="K184" s="270"/>
      <c r="L184" s="269"/>
      <c r="M184" s="62"/>
      <c r="N184" s="62"/>
      <c r="O184" s="62"/>
      <c r="P184" s="62"/>
      <c r="Q184" s="62"/>
      <c r="R184" s="62"/>
      <c r="W184" s="60"/>
    </row>
    <row r="185" spans="1:23" s="214" customFormat="1" x14ac:dyDescent="0.25">
      <c r="A185" s="266"/>
      <c r="B185" s="266"/>
      <c r="C185" s="54"/>
      <c r="D185" s="267"/>
      <c r="E185" s="268"/>
      <c r="F185" s="55"/>
      <c r="G185" s="269"/>
      <c r="H185" s="269"/>
      <c r="I185" s="55"/>
      <c r="J185" s="269"/>
      <c r="K185" s="270"/>
      <c r="L185" s="269"/>
      <c r="M185" s="62"/>
      <c r="N185" s="62"/>
      <c r="O185" s="62"/>
      <c r="P185" s="62"/>
      <c r="Q185" s="62"/>
      <c r="R185" s="62"/>
      <c r="W185" s="60"/>
    </row>
    <row r="186" spans="1:23" s="214" customFormat="1" x14ac:dyDescent="0.25">
      <c r="A186" s="266"/>
      <c r="B186" s="266"/>
      <c r="C186" s="54"/>
      <c r="D186" s="267"/>
      <c r="E186" s="268"/>
      <c r="F186" s="55"/>
      <c r="G186" s="269"/>
      <c r="H186" s="269"/>
      <c r="I186" s="55"/>
      <c r="J186" s="269"/>
      <c r="K186" s="270"/>
      <c r="L186" s="269"/>
      <c r="M186" s="62"/>
      <c r="N186" s="62"/>
      <c r="O186" s="62"/>
      <c r="P186" s="62"/>
      <c r="Q186" s="62"/>
      <c r="R186" s="62"/>
      <c r="W186" s="60"/>
    </row>
    <row r="187" spans="1:23" s="214" customFormat="1" x14ac:dyDescent="0.25">
      <c r="A187" s="266"/>
      <c r="B187" s="266"/>
      <c r="C187" s="54"/>
      <c r="D187" s="267"/>
      <c r="E187" s="268"/>
      <c r="F187" s="55"/>
      <c r="G187" s="269"/>
      <c r="H187" s="269"/>
      <c r="I187" s="55"/>
      <c r="J187" s="269"/>
      <c r="K187" s="270"/>
      <c r="L187" s="269"/>
      <c r="M187" s="62"/>
      <c r="N187" s="62"/>
      <c r="O187" s="62"/>
      <c r="P187" s="62"/>
      <c r="Q187" s="62"/>
      <c r="R187" s="62"/>
      <c r="W187" s="60"/>
    </row>
    <row r="188" spans="1:23" s="214" customFormat="1" x14ac:dyDescent="0.25">
      <c r="A188" s="266"/>
      <c r="B188" s="266"/>
      <c r="C188" s="54"/>
      <c r="D188" s="267"/>
      <c r="E188" s="268"/>
      <c r="F188" s="55"/>
      <c r="G188" s="269"/>
      <c r="H188" s="269"/>
      <c r="I188" s="55"/>
      <c r="J188" s="269"/>
      <c r="K188" s="270"/>
      <c r="L188" s="269"/>
      <c r="M188" s="62"/>
      <c r="N188" s="62"/>
      <c r="O188" s="62"/>
      <c r="P188" s="62"/>
      <c r="Q188" s="62"/>
      <c r="R188" s="62"/>
      <c r="W188" s="60"/>
    </row>
    <row r="189" spans="1:23" s="214" customFormat="1" x14ac:dyDescent="0.25">
      <c r="A189" s="266"/>
      <c r="B189" s="266"/>
      <c r="C189" s="54"/>
      <c r="D189" s="267"/>
      <c r="E189" s="268"/>
      <c r="F189" s="55"/>
      <c r="G189" s="269"/>
      <c r="H189" s="269"/>
      <c r="I189" s="55"/>
      <c r="J189" s="269"/>
      <c r="K189" s="270"/>
      <c r="L189" s="269"/>
      <c r="M189" s="62"/>
      <c r="N189" s="62"/>
      <c r="O189" s="62"/>
      <c r="P189" s="62"/>
      <c r="Q189" s="62"/>
      <c r="R189" s="62"/>
      <c r="W189" s="60"/>
    </row>
    <row r="190" spans="1:23" s="214" customFormat="1" x14ac:dyDescent="0.25">
      <c r="A190" s="266"/>
      <c r="B190" s="266"/>
      <c r="C190" s="54"/>
      <c r="D190" s="267"/>
      <c r="E190" s="268"/>
      <c r="F190" s="55"/>
      <c r="G190" s="269"/>
      <c r="H190" s="269"/>
      <c r="I190" s="55"/>
      <c r="J190" s="269"/>
      <c r="K190" s="270"/>
      <c r="L190" s="269"/>
      <c r="M190" s="62"/>
      <c r="N190" s="62"/>
      <c r="O190" s="62"/>
      <c r="P190" s="62"/>
      <c r="Q190" s="62"/>
      <c r="R190" s="62"/>
      <c r="W190" s="60"/>
    </row>
    <row r="191" spans="1:23" s="214" customFormat="1" x14ac:dyDescent="0.25">
      <c r="A191" s="266"/>
      <c r="B191" s="266"/>
      <c r="C191" s="54"/>
      <c r="D191" s="267"/>
      <c r="E191" s="268"/>
      <c r="F191" s="55"/>
      <c r="G191" s="269"/>
      <c r="H191" s="269"/>
      <c r="I191" s="55"/>
      <c r="J191" s="269"/>
      <c r="K191" s="270"/>
      <c r="L191" s="269"/>
      <c r="M191" s="62"/>
      <c r="N191" s="62"/>
      <c r="O191" s="62"/>
      <c r="P191" s="62"/>
      <c r="Q191" s="62"/>
      <c r="R191" s="62"/>
      <c r="W191" s="60"/>
    </row>
    <row r="192" spans="1:23" s="214" customFormat="1" x14ac:dyDescent="0.25">
      <c r="A192" s="266"/>
      <c r="B192" s="266"/>
      <c r="C192" s="54"/>
      <c r="D192" s="267"/>
      <c r="E192" s="268"/>
      <c r="F192" s="55"/>
      <c r="G192" s="269"/>
      <c r="H192" s="269"/>
      <c r="I192" s="55"/>
      <c r="J192" s="269"/>
      <c r="K192" s="270"/>
      <c r="L192" s="269"/>
      <c r="M192" s="62"/>
      <c r="N192" s="62"/>
      <c r="O192" s="62"/>
      <c r="P192" s="62"/>
      <c r="Q192" s="62"/>
      <c r="R192" s="62"/>
      <c r="W192" s="60"/>
    </row>
    <row r="193" spans="1:23" s="214" customFormat="1" x14ac:dyDescent="0.25">
      <c r="A193" s="266"/>
      <c r="B193" s="266"/>
      <c r="C193" s="54"/>
      <c r="D193" s="267"/>
      <c r="E193" s="268"/>
      <c r="F193" s="55"/>
      <c r="G193" s="269"/>
      <c r="H193" s="269"/>
      <c r="I193" s="55"/>
      <c r="J193" s="269"/>
      <c r="K193" s="270"/>
      <c r="L193" s="269"/>
      <c r="M193" s="62"/>
      <c r="N193" s="62"/>
      <c r="O193" s="62"/>
      <c r="P193" s="62"/>
      <c r="Q193" s="62"/>
      <c r="R193" s="62"/>
      <c r="W193" s="60"/>
    </row>
    <row r="194" spans="1:23" s="214" customFormat="1" x14ac:dyDescent="0.25">
      <c r="A194" s="266"/>
      <c r="B194" s="266"/>
      <c r="C194" s="54"/>
      <c r="D194" s="267"/>
      <c r="E194" s="268"/>
      <c r="F194" s="55"/>
      <c r="G194" s="269"/>
      <c r="H194" s="269"/>
      <c r="I194" s="55"/>
      <c r="J194" s="269"/>
      <c r="K194" s="270"/>
      <c r="L194" s="269"/>
      <c r="M194" s="62"/>
      <c r="N194" s="62"/>
      <c r="O194" s="62"/>
      <c r="P194" s="62"/>
      <c r="Q194" s="62"/>
      <c r="R194" s="62"/>
      <c r="W194" s="60"/>
    </row>
    <row r="195" spans="1:23" s="214" customFormat="1" x14ac:dyDescent="0.25">
      <c r="A195" s="266"/>
      <c r="B195" s="266"/>
      <c r="C195" s="54"/>
      <c r="D195" s="267"/>
      <c r="E195" s="268"/>
      <c r="F195" s="55"/>
      <c r="G195" s="269"/>
      <c r="H195" s="269"/>
      <c r="I195" s="55"/>
      <c r="J195" s="269"/>
      <c r="K195" s="270"/>
      <c r="L195" s="269"/>
      <c r="M195" s="62"/>
      <c r="N195" s="62"/>
      <c r="O195" s="62"/>
      <c r="P195" s="62"/>
      <c r="Q195" s="62"/>
      <c r="R195" s="62"/>
      <c r="W195" s="60"/>
    </row>
    <row r="196" spans="1:23" s="214" customFormat="1" x14ac:dyDescent="0.25">
      <c r="A196" s="266"/>
      <c r="B196" s="266"/>
      <c r="C196" s="54"/>
      <c r="D196" s="267"/>
      <c r="E196" s="268"/>
      <c r="F196" s="55"/>
      <c r="G196" s="269"/>
      <c r="H196" s="269"/>
      <c r="I196" s="55"/>
      <c r="J196" s="269"/>
      <c r="K196" s="270"/>
      <c r="L196" s="269"/>
      <c r="M196" s="62"/>
      <c r="N196" s="62"/>
      <c r="O196" s="62"/>
      <c r="P196" s="62"/>
      <c r="Q196" s="62"/>
      <c r="R196" s="62"/>
      <c r="W196" s="60"/>
    </row>
    <row r="197" spans="1:23" s="214" customFormat="1" x14ac:dyDescent="0.25">
      <c r="A197" s="266"/>
      <c r="B197" s="266"/>
      <c r="C197" s="54"/>
      <c r="D197" s="267"/>
      <c r="E197" s="268"/>
      <c r="F197" s="55"/>
      <c r="G197" s="269"/>
      <c r="H197" s="269"/>
      <c r="I197" s="55"/>
      <c r="J197" s="269"/>
      <c r="K197" s="270"/>
      <c r="L197" s="269"/>
      <c r="M197" s="62"/>
      <c r="N197" s="62"/>
      <c r="O197" s="62"/>
      <c r="P197" s="62"/>
      <c r="Q197" s="62"/>
      <c r="R197" s="62"/>
      <c r="W197" s="60"/>
    </row>
    <row r="198" spans="1:23" s="214" customFormat="1" x14ac:dyDescent="0.25">
      <c r="A198" s="266"/>
      <c r="B198" s="266"/>
      <c r="C198" s="54"/>
      <c r="D198" s="267"/>
      <c r="E198" s="268"/>
      <c r="F198" s="55"/>
      <c r="G198" s="269"/>
      <c r="H198" s="269"/>
      <c r="I198" s="55"/>
      <c r="J198" s="269"/>
      <c r="K198" s="270"/>
      <c r="L198" s="269"/>
      <c r="M198" s="62"/>
      <c r="N198" s="62"/>
      <c r="O198" s="62"/>
      <c r="P198" s="62"/>
      <c r="Q198" s="62"/>
      <c r="R198" s="62"/>
      <c r="W198" s="60"/>
    </row>
    <row r="199" spans="1:23" s="214" customFormat="1" x14ac:dyDescent="0.25">
      <c r="A199" s="266"/>
      <c r="B199" s="266"/>
      <c r="C199" s="54"/>
      <c r="D199" s="267"/>
      <c r="E199" s="268"/>
      <c r="F199" s="55"/>
      <c r="G199" s="269"/>
      <c r="H199" s="269"/>
      <c r="I199" s="55"/>
      <c r="J199" s="269"/>
      <c r="K199" s="270"/>
      <c r="L199" s="269"/>
      <c r="M199" s="62"/>
      <c r="N199" s="62"/>
      <c r="O199" s="62"/>
      <c r="P199" s="62"/>
      <c r="Q199" s="62"/>
      <c r="R199" s="62"/>
      <c r="W199" s="60"/>
    </row>
    <row r="200" spans="1:23" s="214" customFormat="1" x14ac:dyDescent="0.25">
      <c r="A200" s="266"/>
      <c r="B200" s="266"/>
      <c r="C200" s="54"/>
      <c r="D200" s="267"/>
      <c r="E200" s="268"/>
      <c r="F200" s="55"/>
      <c r="G200" s="269"/>
      <c r="H200" s="269"/>
      <c r="I200" s="55"/>
      <c r="J200" s="269"/>
      <c r="K200" s="270"/>
      <c r="L200" s="269"/>
      <c r="M200" s="62"/>
      <c r="N200" s="62"/>
      <c r="O200" s="62"/>
      <c r="P200" s="62"/>
      <c r="Q200" s="62"/>
      <c r="R200" s="62"/>
      <c r="W200" s="60"/>
    </row>
    <row r="201" spans="1:23" s="214" customFormat="1" x14ac:dyDescent="0.25">
      <c r="A201" s="266"/>
      <c r="B201" s="266"/>
      <c r="C201" s="54"/>
      <c r="D201" s="267"/>
      <c r="E201" s="268"/>
      <c r="F201" s="55"/>
      <c r="G201" s="269"/>
      <c r="H201" s="269"/>
      <c r="I201" s="55"/>
      <c r="J201" s="269"/>
      <c r="K201" s="270"/>
      <c r="L201" s="269"/>
      <c r="M201" s="62"/>
      <c r="N201" s="62"/>
      <c r="O201" s="62"/>
      <c r="P201" s="62"/>
      <c r="Q201" s="62"/>
      <c r="R201" s="62"/>
      <c r="W201" s="60"/>
    </row>
    <row r="202" spans="1:23" s="214" customFormat="1" x14ac:dyDescent="0.25">
      <c r="A202" s="266"/>
      <c r="B202" s="266"/>
      <c r="C202" s="54"/>
      <c r="D202" s="267"/>
      <c r="E202" s="268"/>
      <c r="F202" s="55"/>
      <c r="G202" s="269"/>
      <c r="H202" s="269"/>
      <c r="I202" s="55"/>
      <c r="J202" s="269"/>
      <c r="K202" s="270"/>
      <c r="L202" s="269"/>
      <c r="M202" s="62"/>
      <c r="N202" s="62"/>
      <c r="O202" s="62"/>
      <c r="P202" s="62"/>
      <c r="Q202" s="62"/>
      <c r="R202" s="62"/>
      <c r="W202" s="60"/>
    </row>
    <row r="203" spans="1:23" s="214" customFormat="1" x14ac:dyDescent="0.25">
      <c r="A203" s="266"/>
      <c r="B203" s="266"/>
      <c r="C203" s="54"/>
      <c r="D203" s="267"/>
      <c r="E203" s="268"/>
      <c r="F203" s="55"/>
      <c r="G203" s="269"/>
      <c r="H203" s="269"/>
      <c r="I203" s="55"/>
      <c r="J203" s="269"/>
      <c r="K203" s="270"/>
      <c r="L203" s="269"/>
      <c r="M203" s="62"/>
      <c r="N203" s="62"/>
      <c r="O203" s="62"/>
      <c r="P203" s="62"/>
      <c r="Q203" s="62"/>
      <c r="R203" s="62"/>
      <c r="W203" s="60"/>
    </row>
    <row r="204" spans="1:23" s="214" customFormat="1" x14ac:dyDescent="0.25">
      <c r="A204" s="266"/>
      <c r="B204" s="266"/>
      <c r="C204" s="54"/>
      <c r="D204" s="267"/>
      <c r="E204" s="268"/>
      <c r="F204" s="55"/>
      <c r="G204" s="269"/>
      <c r="H204" s="269"/>
      <c r="I204" s="55"/>
      <c r="J204" s="269"/>
      <c r="K204" s="270"/>
      <c r="L204" s="269"/>
      <c r="M204" s="62"/>
      <c r="N204" s="62"/>
      <c r="O204" s="62"/>
      <c r="P204" s="62"/>
      <c r="Q204" s="62"/>
      <c r="R204" s="62"/>
      <c r="W204" s="60"/>
    </row>
    <row r="205" spans="1:23" s="214" customFormat="1" x14ac:dyDescent="0.25">
      <c r="A205" s="266"/>
      <c r="B205" s="266"/>
      <c r="C205" s="54"/>
      <c r="D205" s="267"/>
      <c r="E205" s="268"/>
      <c r="F205" s="55"/>
      <c r="G205" s="269"/>
      <c r="H205" s="269"/>
      <c r="I205" s="55"/>
      <c r="J205" s="269"/>
      <c r="K205" s="270"/>
      <c r="L205" s="269"/>
      <c r="M205" s="62"/>
      <c r="N205" s="62"/>
      <c r="O205" s="62"/>
      <c r="P205" s="62"/>
      <c r="Q205" s="62"/>
      <c r="R205" s="62"/>
      <c r="W205" s="60"/>
    </row>
    <row r="206" spans="1:23" s="214" customFormat="1" x14ac:dyDescent="0.25">
      <c r="A206" s="266"/>
      <c r="B206" s="266"/>
      <c r="C206" s="54"/>
      <c r="D206" s="267"/>
      <c r="E206" s="268"/>
      <c r="F206" s="55"/>
      <c r="G206" s="269"/>
      <c r="H206" s="269"/>
      <c r="I206" s="55"/>
      <c r="J206" s="269"/>
      <c r="K206" s="270"/>
      <c r="L206" s="269"/>
      <c r="M206" s="62"/>
      <c r="N206" s="62"/>
      <c r="O206" s="62"/>
      <c r="P206" s="62"/>
      <c r="Q206" s="62"/>
      <c r="R206" s="62"/>
      <c r="W206" s="60"/>
    </row>
    <row r="207" spans="1:23" s="214" customFormat="1" x14ac:dyDescent="0.25">
      <c r="A207" s="266"/>
      <c r="B207" s="266"/>
      <c r="C207" s="54"/>
      <c r="D207" s="267"/>
      <c r="E207" s="268"/>
      <c r="F207" s="55"/>
      <c r="G207" s="269"/>
      <c r="H207" s="269"/>
      <c r="I207" s="55"/>
      <c r="J207" s="269"/>
      <c r="K207" s="270"/>
      <c r="L207" s="269"/>
      <c r="M207" s="62"/>
      <c r="N207" s="62"/>
      <c r="O207" s="62"/>
      <c r="P207" s="62"/>
      <c r="Q207" s="62"/>
      <c r="R207" s="62"/>
      <c r="W207" s="60"/>
    </row>
    <row r="208" spans="1:23" s="214" customFormat="1" x14ac:dyDescent="0.25">
      <c r="A208" s="266"/>
      <c r="B208" s="266"/>
      <c r="C208" s="54"/>
      <c r="D208" s="267"/>
      <c r="E208" s="268"/>
      <c r="F208" s="55"/>
      <c r="G208" s="269"/>
      <c r="H208" s="269"/>
      <c r="I208" s="55"/>
      <c r="J208" s="269"/>
      <c r="K208" s="270"/>
      <c r="L208" s="269"/>
      <c r="M208" s="62"/>
      <c r="N208" s="62"/>
      <c r="O208" s="62"/>
      <c r="P208" s="62"/>
      <c r="Q208" s="62"/>
      <c r="R208" s="62"/>
      <c r="W208" s="60"/>
    </row>
    <row r="209" spans="1:23" s="214" customFormat="1" x14ac:dyDescent="0.25">
      <c r="A209" s="266"/>
      <c r="B209" s="266"/>
      <c r="C209" s="54"/>
      <c r="D209" s="267"/>
      <c r="E209" s="268"/>
      <c r="F209" s="55"/>
      <c r="G209" s="269"/>
      <c r="H209" s="269"/>
      <c r="I209" s="55"/>
      <c r="J209" s="269"/>
      <c r="K209" s="270"/>
      <c r="L209" s="269"/>
      <c r="M209" s="62"/>
      <c r="N209" s="62"/>
      <c r="O209" s="62"/>
      <c r="P209" s="62"/>
      <c r="Q209" s="62"/>
      <c r="R209" s="62"/>
      <c r="W209" s="60"/>
    </row>
    <row r="210" spans="1:23" s="214" customFormat="1" x14ac:dyDescent="0.25">
      <c r="A210" s="266"/>
      <c r="B210" s="266"/>
      <c r="C210" s="54"/>
      <c r="D210" s="267"/>
      <c r="E210" s="268"/>
      <c r="F210" s="55"/>
      <c r="G210" s="269"/>
      <c r="H210" s="269"/>
      <c r="I210" s="55"/>
      <c r="J210" s="269"/>
      <c r="K210" s="270"/>
      <c r="L210" s="269"/>
      <c r="M210" s="62"/>
      <c r="N210" s="62"/>
      <c r="O210" s="62"/>
      <c r="P210" s="62"/>
      <c r="Q210" s="62"/>
      <c r="R210" s="62"/>
      <c r="W210" s="60"/>
    </row>
    <row r="211" spans="1:23" s="214" customFormat="1" x14ac:dyDescent="0.25">
      <c r="A211" s="266"/>
      <c r="B211" s="266"/>
      <c r="C211" s="54"/>
      <c r="D211" s="267"/>
      <c r="E211" s="268"/>
      <c r="F211" s="55"/>
      <c r="G211" s="269"/>
      <c r="H211" s="269"/>
      <c r="I211" s="55"/>
      <c r="J211" s="269"/>
      <c r="K211" s="270"/>
      <c r="L211" s="269"/>
      <c r="M211" s="62"/>
      <c r="N211" s="62"/>
      <c r="O211" s="62"/>
      <c r="P211" s="62"/>
      <c r="Q211" s="62"/>
      <c r="R211" s="62"/>
      <c r="W211" s="60"/>
    </row>
    <row r="212" spans="1:23" s="214" customFormat="1" x14ac:dyDescent="0.25">
      <c r="A212" s="266"/>
      <c r="B212" s="266"/>
      <c r="C212" s="54"/>
      <c r="D212" s="267"/>
      <c r="E212" s="268"/>
      <c r="F212" s="55"/>
      <c r="G212" s="269"/>
      <c r="H212" s="269"/>
      <c r="I212" s="55"/>
      <c r="J212" s="269"/>
      <c r="K212" s="270"/>
      <c r="L212" s="269"/>
      <c r="M212" s="62"/>
      <c r="N212" s="62"/>
      <c r="O212" s="62"/>
      <c r="P212" s="62"/>
      <c r="Q212" s="62"/>
      <c r="R212" s="62"/>
      <c r="W212" s="60"/>
    </row>
    <row r="213" spans="1:23" s="214" customFormat="1" x14ac:dyDescent="0.25">
      <c r="A213" s="266"/>
      <c r="B213" s="266"/>
      <c r="C213" s="54"/>
      <c r="D213" s="267"/>
      <c r="E213" s="268"/>
      <c r="F213" s="55"/>
      <c r="G213" s="269"/>
      <c r="H213" s="269"/>
      <c r="I213" s="55"/>
      <c r="J213" s="269"/>
      <c r="K213" s="270"/>
      <c r="L213" s="269"/>
      <c r="M213" s="62"/>
      <c r="N213" s="62"/>
      <c r="O213" s="62"/>
      <c r="P213" s="62"/>
      <c r="Q213" s="62"/>
      <c r="R213" s="62"/>
      <c r="W213" s="60"/>
    </row>
    <row r="214" spans="1:23" s="214" customFormat="1" x14ac:dyDescent="0.25">
      <c r="A214" s="266"/>
      <c r="B214" s="266"/>
      <c r="C214" s="54"/>
      <c r="D214" s="267"/>
      <c r="E214" s="268"/>
      <c r="F214" s="55"/>
      <c r="G214" s="269"/>
      <c r="H214" s="269"/>
      <c r="I214" s="55"/>
      <c r="J214" s="269"/>
      <c r="K214" s="270"/>
      <c r="L214" s="269"/>
      <c r="M214" s="62"/>
      <c r="N214" s="62"/>
      <c r="O214" s="62"/>
      <c r="P214" s="62"/>
      <c r="Q214" s="62"/>
      <c r="R214" s="62"/>
      <c r="W214" s="60"/>
    </row>
    <row r="215" spans="1:23" s="214" customFormat="1" x14ac:dyDescent="0.25">
      <c r="A215" s="266"/>
      <c r="B215" s="266"/>
      <c r="C215" s="54"/>
      <c r="D215" s="267"/>
      <c r="E215" s="268"/>
      <c r="F215" s="55"/>
      <c r="G215" s="269"/>
      <c r="H215" s="269"/>
      <c r="I215" s="55"/>
      <c r="J215" s="269"/>
      <c r="K215" s="270"/>
      <c r="L215" s="269"/>
      <c r="M215" s="62"/>
      <c r="N215" s="62"/>
      <c r="O215" s="62"/>
      <c r="P215" s="62"/>
      <c r="Q215" s="62"/>
      <c r="R215" s="62"/>
      <c r="W215" s="60"/>
    </row>
    <row r="216" spans="1:23" s="214" customFormat="1" x14ac:dyDescent="0.25">
      <c r="A216" s="266"/>
      <c r="B216" s="266"/>
      <c r="C216" s="54"/>
      <c r="D216" s="267"/>
      <c r="E216" s="268"/>
      <c r="F216" s="55"/>
      <c r="G216" s="269"/>
      <c r="H216" s="269"/>
      <c r="I216" s="55"/>
      <c r="J216" s="269"/>
      <c r="K216" s="270"/>
      <c r="L216" s="269"/>
      <c r="M216" s="62"/>
      <c r="N216" s="62"/>
      <c r="O216" s="62"/>
      <c r="P216" s="62"/>
      <c r="Q216" s="62"/>
      <c r="R216" s="62"/>
      <c r="W216" s="60"/>
    </row>
    <row r="217" spans="1:23" s="214" customFormat="1" x14ac:dyDescent="0.25">
      <c r="A217" s="266"/>
      <c r="B217" s="266"/>
      <c r="C217" s="54"/>
      <c r="D217" s="267"/>
      <c r="E217" s="268"/>
      <c r="F217" s="55"/>
      <c r="G217" s="269"/>
      <c r="H217" s="269"/>
      <c r="I217" s="55"/>
      <c r="J217" s="269"/>
      <c r="K217" s="270"/>
      <c r="L217" s="269"/>
      <c r="M217" s="62"/>
      <c r="N217" s="62"/>
      <c r="O217" s="62"/>
      <c r="P217" s="62"/>
      <c r="Q217" s="62"/>
      <c r="R217" s="62"/>
      <c r="W217" s="60"/>
    </row>
    <row r="218" spans="1:23" s="214" customFormat="1" x14ac:dyDescent="0.25">
      <c r="A218" s="266"/>
      <c r="B218" s="266"/>
      <c r="C218" s="54"/>
      <c r="D218" s="267"/>
      <c r="E218" s="268"/>
      <c r="F218" s="55"/>
      <c r="G218" s="269"/>
      <c r="H218" s="269"/>
      <c r="I218" s="55"/>
      <c r="J218" s="269"/>
      <c r="K218" s="270"/>
      <c r="L218" s="269"/>
      <c r="M218" s="62"/>
      <c r="N218" s="62"/>
      <c r="O218" s="62"/>
      <c r="P218" s="62"/>
      <c r="Q218" s="62"/>
      <c r="R218" s="62"/>
      <c r="W218" s="60"/>
    </row>
    <row r="219" spans="1:23" s="214" customFormat="1" x14ac:dyDescent="0.25">
      <c r="A219" s="266"/>
      <c r="B219" s="266"/>
      <c r="C219" s="54"/>
      <c r="D219" s="267"/>
      <c r="E219" s="268"/>
      <c r="F219" s="55"/>
      <c r="G219" s="269"/>
      <c r="H219" s="269"/>
      <c r="I219" s="55"/>
      <c r="J219" s="269"/>
      <c r="K219" s="270"/>
      <c r="L219" s="269"/>
      <c r="M219" s="62"/>
      <c r="N219" s="62"/>
      <c r="O219" s="62"/>
      <c r="P219" s="62"/>
      <c r="Q219" s="62"/>
      <c r="R219" s="62"/>
      <c r="W219" s="60"/>
    </row>
    <row r="220" spans="1:23" s="214" customFormat="1" x14ac:dyDescent="0.25">
      <c r="A220" s="266"/>
      <c r="B220" s="266"/>
      <c r="C220" s="54"/>
      <c r="D220" s="267"/>
      <c r="E220" s="268"/>
      <c r="F220" s="55"/>
      <c r="G220" s="269"/>
      <c r="H220" s="269"/>
      <c r="I220" s="55"/>
      <c r="J220" s="269"/>
      <c r="K220" s="270"/>
      <c r="L220" s="269"/>
      <c r="M220" s="62"/>
      <c r="N220" s="62"/>
      <c r="O220" s="62"/>
      <c r="P220" s="62"/>
      <c r="Q220" s="62"/>
      <c r="R220" s="62"/>
      <c r="W220" s="60"/>
    </row>
    <row r="221" spans="1:23" s="214" customFormat="1" x14ac:dyDescent="0.25">
      <c r="A221" s="266"/>
      <c r="B221" s="266"/>
      <c r="C221" s="54"/>
      <c r="D221" s="267"/>
      <c r="E221" s="268"/>
      <c r="F221" s="55"/>
      <c r="G221" s="269"/>
      <c r="H221" s="269"/>
      <c r="I221" s="55"/>
      <c r="J221" s="269"/>
      <c r="K221" s="270"/>
      <c r="L221" s="269"/>
      <c r="M221" s="62"/>
      <c r="N221" s="62"/>
      <c r="O221" s="62"/>
      <c r="P221" s="62"/>
      <c r="Q221" s="62"/>
      <c r="R221" s="62"/>
      <c r="W221" s="60"/>
    </row>
    <row r="222" spans="1:23" s="214" customFormat="1" x14ac:dyDescent="0.25">
      <c r="A222" s="266"/>
      <c r="B222" s="266"/>
      <c r="C222" s="54"/>
      <c r="D222" s="267"/>
      <c r="E222" s="268"/>
      <c r="F222" s="55"/>
      <c r="G222" s="269"/>
      <c r="H222" s="269"/>
      <c r="I222" s="55"/>
      <c r="J222" s="269"/>
      <c r="K222" s="270"/>
      <c r="L222" s="269"/>
      <c r="M222" s="62"/>
      <c r="N222" s="62"/>
      <c r="O222" s="62"/>
      <c r="P222" s="62"/>
      <c r="Q222" s="62"/>
      <c r="R222" s="62"/>
      <c r="W222" s="60"/>
    </row>
    <row r="223" spans="1:23" s="214" customFormat="1" x14ac:dyDescent="0.25">
      <c r="A223" s="266"/>
      <c r="B223" s="266"/>
      <c r="C223" s="54"/>
      <c r="D223" s="267"/>
      <c r="E223" s="268"/>
      <c r="F223" s="55"/>
      <c r="G223" s="269"/>
      <c r="H223" s="269"/>
      <c r="I223" s="55"/>
      <c r="J223" s="269"/>
      <c r="K223" s="270"/>
      <c r="L223" s="269"/>
      <c r="M223" s="62"/>
      <c r="N223" s="62"/>
      <c r="O223" s="62"/>
      <c r="P223" s="62"/>
      <c r="Q223" s="62"/>
      <c r="R223" s="62"/>
      <c r="W223" s="60"/>
    </row>
    <row r="224" spans="1:23" s="214" customFormat="1" x14ac:dyDescent="0.25">
      <c r="A224" s="266"/>
      <c r="B224" s="266"/>
      <c r="C224" s="54"/>
      <c r="D224" s="267"/>
      <c r="E224" s="268"/>
      <c r="F224" s="55"/>
      <c r="G224" s="269"/>
      <c r="H224" s="269"/>
      <c r="I224" s="55"/>
      <c r="J224" s="269"/>
      <c r="K224" s="270"/>
      <c r="L224" s="269"/>
      <c r="M224" s="62"/>
      <c r="N224" s="62"/>
      <c r="O224" s="62"/>
      <c r="P224" s="62"/>
      <c r="Q224" s="62"/>
      <c r="R224" s="62"/>
      <c r="W224" s="60"/>
    </row>
    <row r="225" spans="1:23" s="214" customFormat="1" x14ac:dyDescent="0.25">
      <c r="A225" s="266"/>
      <c r="B225" s="266"/>
      <c r="C225" s="54"/>
      <c r="D225" s="267"/>
      <c r="E225" s="268"/>
      <c r="F225" s="55"/>
      <c r="G225" s="269"/>
      <c r="H225" s="269"/>
      <c r="I225" s="55"/>
      <c r="J225" s="269"/>
      <c r="K225" s="270"/>
      <c r="L225" s="269"/>
      <c r="M225" s="62"/>
      <c r="N225" s="62"/>
      <c r="O225" s="62"/>
      <c r="P225" s="62"/>
      <c r="Q225" s="62"/>
      <c r="R225" s="62"/>
      <c r="W225" s="60"/>
    </row>
    <row r="226" spans="1:23" s="214" customFormat="1" x14ac:dyDescent="0.25">
      <c r="A226" s="266"/>
      <c r="B226" s="266"/>
      <c r="C226" s="54"/>
      <c r="D226" s="267"/>
      <c r="E226" s="268"/>
      <c r="F226" s="55"/>
      <c r="G226" s="269"/>
      <c r="H226" s="269"/>
      <c r="I226" s="55"/>
      <c r="J226" s="269"/>
      <c r="K226" s="270"/>
      <c r="L226" s="269"/>
      <c r="M226" s="62"/>
      <c r="N226" s="62"/>
      <c r="O226" s="62"/>
      <c r="P226" s="62"/>
      <c r="Q226" s="62"/>
      <c r="R226" s="62"/>
      <c r="W226" s="60"/>
    </row>
    <row r="227" spans="1:23" s="214" customFormat="1" x14ac:dyDescent="0.25">
      <c r="A227" s="266"/>
      <c r="B227" s="266"/>
      <c r="C227" s="54"/>
      <c r="D227" s="267"/>
      <c r="E227" s="268"/>
      <c r="F227" s="55"/>
      <c r="G227" s="269"/>
      <c r="H227" s="269"/>
      <c r="I227" s="55"/>
      <c r="J227" s="269"/>
      <c r="K227" s="270"/>
      <c r="L227" s="269"/>
      <c r="M227" s="62"/>
      <c r="N227" s="62"/>
      <c r="O227" s="62"/>
      <c r="P227" s="62"/>
      <c r="Q227" s="62"/>
      <c r="R227" s="62"/>
      <c r="W227" s="60"/>
    </row>
    <row r="228" spans="1:23" s="214" customFormat="1" x14ac:dyDescent="0.25">
      <c r="A228" s="266"/>
      <c r="B228" s="266"/>
      <c r="C228" s="54"/>
      <c r="D228" s="267"/>
      <c r="E228" s="268"/>
      <c r="F228" s="55"/>
      <c r="G228" s="269"/>
      <c r="H228" s="269"/>
      <c r="I228" s="55"/>
      <c r="J228" s="269"/>
      <c r="K228" s="270"/>
      <c r="L228" s="269"/>
      <c r="M228" s="62"/>
      <c r="N228" s="62"/>
      <c r="O228" s="62"/>
      <c r="P228" s="62"/>
      <c r="Q228" s="62"/>
      <c r="R228" s="62"/>
      <c r="W228" s="60"/>
    </row>
    <row r="229" spans="1:23" s="214" customFormat="1" x14ac:dyDescent="0.25">
      <c r="A229" s="266"/>
      <c r="B229" s="266"/>
      <c r="C229" s="54"/>
      <c r="D229" s="267"/>
      <c r="E229" s="268"/>
      <c r="F229" s="55"/>
      <c r="G229" s="269"/>
      <c r="H229" s="269"/>
      <c r="I229" s="55"/>
      <c r="J229" s="269"/>
      <c r="K229" s="270"/>
      <c r="L229" s="269"/>
      <c r="M229" s="62"/>
      <c r="N229" s="62"/>
      <c r="O229" s="62"/>
      <c r="P229" s="62"/>
      <c r="Q229" s="62"/>
      <c r="R229" s="62"/>
      <c r="W229" s="60"/>
    </row>
    <row r="230" spans="1:23" s="214" customFormat="1" x14ac:dyDescent="0.25">
      <c r="A230" s="266"/>
      <c r="B230" s="266"/>
      <c r="C230" s="54"/>
      <c r="D230" s="267"/>
      <c r="E230" s="268"/>
      <c r="F230" s="55"/>
      <c r="G230" s="269"/>
      <c r="H230" s="269"/>
      <c r="I230" s="55"/>
      <c r="J230" s="269"/>
      <c r="K230" s="270"/>
      <c r="L230" s="269"/>
      <c r="M230" s="62"/>
      <c r="N230" s="62"/>
      <c r="O230" s="62"/>
      <c r="P230" s="62"/>
      <c r="Q230" s="62"/>
      <c r="R230" s="62"/>
      <c r="W230" s="60"/>
    </row>
    <row r="231" spans="1:23" s="214" customFormat="1" x14ac:dyDescent="0.25">
      <c r="A231" s="266"/>
      <c r="B231" s="266"/>
      <c r="C231" s="54"/>
      <c r="D231" s="267"/>
      <c r="E231" s="268"/>
      <c r="F231" s="55"/>
      <c r="G231" s="269"/>
      <c r="H231" s="269"/>
      <c r="I231" s="55"/>
      <c r="J231" s="269"/>
      <c r="K231" s="270"/>
      <c r="L231" s="269"/>
      <c r="M231" s="62"/>
      <c r="N231" s="62"/>
      <c r="O231" s="62"/>
      <c r="P231" s="62"/>
      <c r="Q231" s="62"/>
      <c r="R231" s="62"/>
      <c r="W231" s="60"/>
    </row>
    <row r="232" spans="1:23" s="214" customFormat="1" x14ac:dyDescent="0.25">
      <c r="A232" s="266"/>
      <c r="B232" s="266"/>
      <c r="C232" s="54"/>
      <c r="D232" s="267"/>
      <c r="E232" s="268"/>
      <c r="F232" s="55"/>
      <c r="G232" s="269"/>
      <c r="H232" s="269"/>
      <c r="I232" s="55"/>
      <c r="J232" s="269"/>
      <c r="K232" s="270"/>
      <c r="L232" s="269"/>
      <c r="M232" s="62"/>
      <c r="N232" s="62"/>
      <c r="O232" s="62"/>
      <c r="P232" s="62"/>
      <c r="Q232" s="62"/>
      <c r="R232" s="62"/>
      <c r="W232" s="60"/>
    </row>
    <row r="233" spans="1:23" s="214" customFormat="1" x14ac:dyDescent="0.25">
      <c r="A233" s="266"/>
      <c r="B233" s="266"/>
      <c r="C233" s="54"/>
      <c r="D233" s="267"/>
      <c r="E233" s="268"/>
      <c r="F233" s="55"/>
      <c r="G233" s="269"/>
      <c r="H233" s="269"/>
      <c r="I233" s="55"/>
      <c r="J233" s="269"/>
      <c r="K233" s="270"/>
      <c r="L233" s="269"/>
      <c r="M233" s="62"/>
      <c r="N233" s="62"/>
      <c r="O233" s="62"/>
      <c r="P233" s="62"/>
      <c r="Q233" s="62"/>
      <c r="R233" s="62"/>
      <c r="W233" s="60"/>
    </row>
    <row r="234" spans="1:23" s="214" customFormat="1" x14ac:dyDescent="0.25">
      <c r="A234" s="266"/>
      <c r="B234" s="266"/>
      <c r="C234" s="54"/>
      <c r="D234" s="267"/>
      <c r="E234" s="268"/>
      <c r="F234" s="55"/>
      <c r="G234" s="269"/>
      <c r="H234" s="269"/>
      <c r="I234" s="55"/>
      <c r="J234" s="269"/>
      <c r="K234" s="270"/>
      <c r="L234" s="269"/>
      <c r="M234" s="62"/>
      <c r="N234" s="62"/>
      <c r="O234" s="62"/>
      <c r="P234" s="62"/>
      <c r="Q234" s="62"/>
      <c r="R234" s="62"/>
      <c r="W234" s="60"/>
    </row>
    <row r="235" spans="1:23" s="214" customFormat="1" x14ac:dyDescent="0.25">
      <c r="A235" s="266"/>
      <c r="B235" s="266"/>
      <c r="C235" s="54"/>
      <c r="D235" s="267"/>
      <c r="E235" s="268"/>
      <c r="F235" s="55"/>
      <c r="G235" s="269"/>
      <c r="H235" s="269"/>
      <c r="I235" s="55"/>
      <c r="J235" s="269"/>
      <c r="K235" s="270"/>
      <c r="L235" s="269"/>
      <c r="M235" s="62"/>
      <c r="N235" s="62"/>
      <c r="O235" s="62"/>
      <c r="P235" s="62"/>
      <c r="Q235" s="62"/>
      <c r="R235" s="62"/>
      <c r="W235" s="60"/>
    </row>
    <row r="236" spans="1:23" s="214" customFormat="1" x14ac:dyDescent="0.25">
      <c r="A236" s="266"/>
      <c r="B236" s="266"/>
      <c r="C236" s="54"/>
      <c r="D236" s="267"/>
      <c r="E236" s="268"/>
      <c r="F236" s="55"/>
      <c r="G236" s="269"/>
      <c r="H236" s="269"/>
      <c r="I236" s="55"/>
      <c r="J236" s="269"/>
      <c r="K236" s="270"/>
      <c r="L236" s="269"/>
      <c r="M236" s="62"/>
      <c r="N236" s="62"/>
      <c r="O236" s="62"/>
      <c r="P236" s="62"/>
      <c r="Q236" s="62"/>
      <c r="R236" s="62"/>
      <c r="W236" s="60"/>
    </row>
    <row r="237" spans="1:23" s="214" customFormat="1" x14ac:dyDescent="0.25">
      <c r="A237" s="266"/>
      <c r="B237" s="266"/>
      <c r="C237" s="54"/>
      <c r="D237" s="267"/>
      <c r="E237" s="268"/>
      <c r="F237" s="55"/>
      <c r="G237" s="269"/>
      <c r="H237" s="269"/>
      <c r="I237" s="55"/>
      <c r="J237" s="269"/>
      <c r="K237" s="270"/>
      <c r="L237" s="269"/>
      <c r="M237" s="62"/>
      <c r="N237" s="62"/>
      <c r="O237" s="62"/>
      <c r="P237" s="62"/>
      <c r="Q237" s="62"/>
      <c r="R237" s="62"/>
      <c r="W237" s="60"/>
    </row>
    <row r="238" spans="1:23" s="214" customFormat="1" x14ac:dyDescent="0.25">
      <c r="A238" s="266"/>
      <c r="B238" s="266"/>
      <c r="C238" s="54"/>
      <c r="D238" s="267"/>
      <c r="E238" s="268"/>
      <c r="F238" s="55"/>
      <c r="G238" s="269"/>
      <c r="H238" s="269"/>
      <c r="I238" s="55"/>
      <c r="J238" s="269"/>
      <c r="K238" s="270"/>
      <c r="L238" s="269"/>
      <c r="M238" s="62"/>
      <c r="N238" s="62"/>
      <c r="O238" s="62"/>
      <c r="P238" s="62"/>
      <c r="Q238" s="62"/>
      <c r="R238" s="62"/>
      <c r="W238" s="60"/>
    </row>
    <row r="239" spans="1:23" s="214" customFormat="1" x14ac:dyDescent="0.25">
      <c r="A239" s="266"/>
      <c r="B239" s="266"/>
      <c r="C239" s="54"/>
      <c r="D239" s="267"/>
      <c r="E239" s="268"/>
      <c r="F239" s="55"/>
      <c r="G239" s="269"/>
      <c r="H239" s="269"/>
      <c r="I239" s="55"/>
      <c r="J239" s="269"/>
      <c r="K239" s="270"/>
      <c r="L239" s="269"/>
      <c r="M239" s="62"/>
      <c r="N239" s="62"/>
      <c r="O239" s="62"/>
      <c r="P239" s="62"/>
      <c r="Q239" s="62"/>
      <c r="R239" s="62"/>
      <c r="W239" s="60"/>
    </row>
    <row r="240" spans="1:23" s="214" customFormat="1" x14ac:dyDescent="0.25">
      <c r="A240" s="266"/>
      <c r="B240" s="266"/>
      <c r="C240" s="54"/>
      <c r="D240" s="267"/>
      <c r="E240" s="268"/>
      <c r="F240" s="55"/>
      <c r="G240" s="269"/>
      <c r="H240" s="269"/>
      <c r="I240" s="55"/>
      <c r="J240" s="269"/>
      <c r="K240" s="270"/>
      <c r="L240" s="269"/>
      <c r="M240" s="62"/>
      <c r="N240" s="62"/>
      <c r="O240" s="62"/>
      <c r="P240" s="62"/>
      <c r="Q240" s="62"/>
      <c r="R240" s="62"/>
      <c r="W240" s="60"/>
    </row>
    <row r="241" spans="1:23" s="214" customFormat="1" x14ac:dyDescent="0.25">
      <c r="A241" s="266"/>
      <c r="B241" s="266"/>
      <c r="C241" s="54"/>
      <c r="D241" s="267"/>
      <c r="E241" s="268"/>
      <c r="F241" s="55"/>
      <c r="G241" s="269"/>
      <c r="H241" s="269"/>
      <c r="I241" s="55"/>
      <c r="J241" s="269"/>
      <c r="K241" s="270"/>
      <c r="L241" s="269"/>
      <c r="M241" s="62"/>
      <c r="N241" s="62"/>
      <c r="O241" s="62"/>
      <c r="P241" s="62"/>
      <c r="Q241" s="62"/>
      <c r="R241" s="62"/>
      <c r="W241" s="60"/>
    </row>
    <row r="242" spans="1:23" s="214" customFormat="1" x14ac:dyDescent="0.25">
      <c r="A242" s="266"/>
      <c r="B242" s="266"/>
      <c r="C242" s="54"/>
      <c r="D242" s="267"/>
      <c r="E242" s="268"/>
      <c r="F242" s="55"/>
      <c r="G242" s="269"/>
      <c r="H242" s="269"/>
      <c r="I242" s="55"/>
      <c r="J242" s="269"/>
      <c r="K242" s="270"/>
      <c r="L242" s="269"/>
      <c r="M242" s="62"/>
      <c r="N242" s="62"/>
      <c r="O242" s="62"/>
      <c r="P242" s="62"/>
      <c r="Q242" s="62"/>
      <c r="R242" s="62"/>
      <c r="W242" s="60"/>
    </row>
    <row r="243" spans="1:23" s="214" customFormat="1" x14ac:dyDescent="0.25">
      <c r="A243" s="266"/>
      <c r="B243" s="266"/>
      <c r="C243" s="54"/>
      <c r="D243" s="267"/>
      <c r="E243" s="268"/>
      <c r="F243" s="55"/>
      <c r="G243" s="269"/>
      <c r="H243" s="269"/>
      <c r="I243" s="55"/>
      <c r="J243" s="269"/>
      <c r="K243" s="270"/>
      <c r="L243" s="269"/>
      <c r="M243" s="62"/>
      <c r="N243" s="62"/>
      <c r="O243" s="62"/>
      <c r="P243" s="62"/>
      <c r="Q243" s="62"/>
      <c r="R243" s="62"/>
      <c r="W243" s="60"/>
    </row>
    <row r="244" spans="1:23" s="214" customFormat="1" x14ac:dyDescent="0.25">
      <c r="A244" s="266"/>
      <c r="B244" s="266"/>
      <c r="C244" s="54"/>
      <c r="D244" s="267"/>
      <c r="E244" s="268"/>
      <c r="F244" s="55"/>
      <c r="G244" s="269"/>
      <c r="H244" s="269"/>
      <c r="I244" s="55"/>
      <c r="J244" s="269"/>
      <c r="K244" s="270"/>
      <c r="L244" s="269"/>
      <c r="M244" s="62"/>
      <c r="N244" s="62"/>
      <c r="O244" s="62"/>
      <c r="P244" s="62"/>
      <c r="Q244" s="62"/>
      <c r="R244" s="62"/>
      <c r="W244" s="60"/>
    </row>
  </sheetData>
  <sheetProtection algorithmName="SHA-512" hashValue="FEy6IHQk7ZWVbE1MrhidTMXIAedW+/sFmaND4O2zkRBO+8+zqjJtfW4U6GlStrljuZxRlu3GLfYJpuo7Qpzc0Q==" saltValue="rTN3kU09xUFAt8+QkBVigQ==" spinCount="100000" sheet="1" formatCells="0" formatColumns="0" formatRows="0"/>
  <mergeCells count="118">
    <mergeCell ref="M54:T54"/>
    <mergeCell ref="M55:T55"/>
    <mergeCell ref="M30:T30"/>
    <mergeCell ref="M31:T31"/>
    <mergeCell ref="M42:T42"/>
    <mergeCell ref="M23:T23"/>
    <mergeCell ref="U1:U2"/>
    <mergeCell ref="W1:W2"/>
    <mergeCell ref="M12:T12"/>
    <mergeCell ref="M14:T14"/>
    <mergeCell ref="M1:T1"/>
    <mergeCell ref="M3:T3"/>
    <mergeCell ref="M5:T5"/>
    <mergeCell ref="M7:T7"/>
    <mergeCell ref="M13:T13"/>
    <mergeCell ref="M34:T34"/>
    <mergeCell ref="M35:T35"/>
    <mergeCell ref="M36:T36"/>
    <mergeCell ref="M22:T22"/>
    <mergeCell ref="M24:T24"/>
    <mergeCell ref="M25:T25"/>
    <mergeCell ref="M51:T51"/>
    <mergeCell ref="M52:T52"/>
    <mergeCell ref="M53:T53"/>
    <mergeCell ref="M15:T15"/>
    <mergeCell ref="M16:T16"/>
    <mergeCell ref="M17:T17"/>
    <mergeCell ref="M18:T18"/>
    <mergeCell ref="M19:T19"/>
    <mergeCell ref="M20:T20"/>
    <mergeCell ref="M21:T21"/>
    <mergeCell ref="M32:T32"/>
    <mergeCell ref="M33:T33"/>
    <mergeCell ref="M47:T47"/>
    <mergeCell ref="M48:T48"/>
    <mergeCell ref="M49:T49"/>
    <mergeCell ref="M50:T50"/>
    <mergeCell ref="M37:T37"/>
    <mergeCell ref="M38:T38"/>
    <mergeCell ref="M39:T39"/>
    <mergeCell ref="M40:T40"/>
    <mergeCell ref="M41:T41"/>
    <mergeCell ref="M61:T61"/>
    <mergeCell ref="M62:T62"/>
    <mergeCell ref="M67:T67"/>
    <mergeCell ref="M68:T68"/>
    <mergeCell ref="M56:T56"/>
    <mergeCell ref="M57:T57"/>
    <mergeCell ref="M58:T58"/>
    <mergeCell ref="M59:T59"/>
    <mergeCell ref="M60:T60"/>
    <mergeCell ref="M74:T74"/>
    <mergeCell ref="M75:T75"/>
    <mergeCell ref="M76:T76"/>
    <mergeCell ref="M77:T77"/>
    <mergeCell ref="M78:T78"/>
    <mergeCell ref="M69:T69"/>
    <mergeCell ref="M70:T70"/>
    <mergeCell ref="M71:T71"/>
    <mergeCell ref="M72:T72"/>
    <mergeCell ref="M73:T73"/>
    <mergeCell ref="M88:T88"/>
    <mergeCell ref="M89:T89"/>
    <mergeCell ref="M90:T90"/>
    <mergeCell ref="M91:T91"/>
    <mergeCell ref="M92:T92"/>
    <mergeCell ref="M79:T79"/>
    <mergeCell ref="M80:T80"/>
    <mergeCell ref="M81:T81"/>
    <mergeCell ref="M82:T82"/>
    <mergeCell ref="M87:T87"/>
    <mergeCell ref="M98:T98"/>
    <mergeCell ref="M99:T99"/>
    <mergeCell ref="M100:T100"/>
    <mergeCell ref="M101:T101"/>
    <mergeCell ref="M102:T102"/>
    <mergeCell ref="M93:T93"/>
    <mergeCell ref="M94:T94"/>
    <mergeCell ref="M95:T95"/>
    <mergeCell ref="M96:T96"/>
    <mergeCell ref="M97:T97"/>
    <mergeCell ref="M121:T121"/>
    <mergeCell ref="M122:T122"/>
    <mergeCell ref="M127:T127"/>
    <mergeCell ref="M114:T114"/>
    <mergeCell ref="M115:T115"/>
    <mergeCell ref="M116:T116"/>
    <mergeCell ref="M117:T117"/>
    <mergeCell ref="M118:T118"/>
    <mergeCell ref="M103:T103"/>
    <mergeCell ref="M104:T104"/>
    <mergeCell ref="M105:T105"/>
    <mergeCell ref="M106:T106"/>
    <mergeCell ref="M113:T113"/>
    <mergeCell ref="M119:T119"/>
    <mergeCell ref="M120:T120"/>
    <mergeCell ref="M108:T108"/>
    <mergeCell ref="M152:T152"/>
    <mergeCell ref="M147:T147"/>
    <mergeCell ref="M148:T148"/>
    <mergeCell ref="M149:T149"/>
    <mergeCell ref="M150:T150"/>
    <mergeCell ref="M151:T151"/>
    <mergeCell ref="M142:T142"/>
    <mergeCell ref="M143:T143"/>
    <mergeCell ref="M144:T144"/>
    <mergeCell ref="M145:T145"/>
    <mergeCell ref="M146:T146"/>
    <mergeCell ref="M133:T133"/>
    <mergeCell ref="M134:T134"/>
    <mergeCell ref="M135:T135"/>
    <mergeCell ref="M136:T136"/>
    <mergeCell ref="M141:T141"/>
    <mergeCell ref="M128:T128"/>
    <mergeCell ref="M129:T129"/>
    <mergeCell ref="M130:T130"/>
    <mergeCell ref="M131:T131"/>
    <mergeCell ref="M132:T132"/>
  </mergeCells>
  <conditionalFormatting sqref="E3">
    <cfRule type="dataBar" priority="286">
      <dataBar>
        <cfvo type="num" val="0.1"/>
        <cfvo type="num" val="1"/>
        <color theme="9" tint="0.39997558519241921"/>
      </dataBar>
      <extLst>
        <ext xmlns:x14="http://schemas.microsoft.com/office/spreadsheetml/2009/9/main" uri="{B025F937-C7B1-47D3-B67F-A62EFF666E3E}">
          <x14:id>{3B5A7DEB-66CF-4355-821E-665F4D2F4C9D}</x14:id>
        </ext>
      </extLst>
    </cfRule>
  </conditionalFormatting>
  <conditionalFormatting sqref="E8">
    <cfRule type="dataBar" priority="285">
      <dataBar>
        <cfvo type="num" val="0.1"/>
        <cfvo type="num" val="1"/>
        <color theme="9" tint="0.39997558519241921"/>
      </dataBar>
      <extLst>
        <ext xmlns:x14="http://schemas.microsoft.com/office/spreadsheetml/2009/9/main" uri="{B025F937-C7B1-47D3-B67F-A62EFF666E3E}">
          <x14:id>{73F1E6F6-8B13-4083-AE5A-79085BA2A9B9}</x14:id>
        </ext>
      </extLst>
    </cfRule>
  </conditionalFormatting>
  <conditionalFormatting sqref="E11">
    <cfRule type="expression" dxfId="352" priority="216">
      <formula>AND(B11&lt;&gt;1,ISNUMBER(C11),OR(ISNUMBER(D11),D11="PG"))</formula>
    </cfRule>
  </conditionalFormatting>
  <conditionalFormatting sqref="E12:E25">
    <cfRule type="expression" dxfId="351" priority="215">
      <formula>AND(B12&lt;&gt;1,ISNUMBER(C12),ISNUMBER(D12))</formula>
    </cfRule>
  </conditionalFormatting>
  <conditionalFormatting sqref="E29">
    <cfRule type="expression" dxfId="350" priority="214">
      <formula>AND(B29&lt;&gt;1,ISNUMBER(C29),OR(ISNUMBER(D29),D29="PG"))</formula>
    </cfRule>
  </conditionalFormatting>
  <conditionalFormatting sqref="E30:E42">
    <cfRule type="expression" dxfId="349" priority="213">
      <formula>AND(B30&lt;&gt;1,ISNUMBER(C30),ISNUMBER(D30))</formula>
    </cfRule>
  </conditionalFormatting>
  <conditionalFormatting sqref="E46">
    <cfRule type="expression" dxfId="348" priority="212">
      <formula>AND(B46&lt;&gt;1,ISNUMBER(C46),OR(ISNUMBER(D46),D46="PG"))</formula>
    </cfRule>
  </conditionalFormatting>
  <conditionalFormatting sqref="E47:E62">
    <cfRule type="expression" dxfId="347" priority="211">
      <formula>AND(B47&lt;&gt;1,ISNUMBER(C47),ISNUMBER(D47))</formula>
    </cfRule>
  </conditionalFormatting>
  <conditionalFormatting sqref="E66">
    <cfRule type="expression" dxfId="346" priority="385">
      <formula>AND(B66&lt;&gt;1,ISNUMBER(C66),OR(ISNUMBER(D66),D66="PG"))</formula>
    </cfRule>
  </conditionalFormatting>
  <conditionalFormatting sqref="E67:E82">
    <cfRule type="expression" dxfId="345" priority="360">
      <formula>AND(B67&lt;&gt;1,ISNUMBER(C67),ISNUMBER(D67))</formula>
    </cfRule>
  </conditionalFormatting>
  <conditionalFormatting sqref="E86">
    <cfRule type="expression" dxfId="344" priority="210">
      <formula>AND(B86&lt;&gt;1,ISNUMBER(C86),OR(ISNUMBER(D86),D86="PG"))</formula>
    </cfRule>
  </conditionalFormatting>
  <conditionalFormatting sqref="E87:E106">
    <cfRule type="expression" dxfId="343" priority="209">
      <formula>AND(B87&lt;&gt;1,ISNUMBER(C87),ISNUMBER(D87))</formula>
    </cfRule>
  </conditionalFormatting>
  <conditionalFormatting sqref="E109">
    <cfRule type="dataBar" priority="282">
      <dataBar>
        <cfvo type="num" val="0.1"/>
        <cfvo type="num" val="1"/>
        <color theme="9" tint="0.39997558519241921"/>
      </dataBar>
      <extLst>
        <ext xmlns:x14="http://schemas.microsoft.com/office/spreadsheetml/2009/9/main" uri="{B025F937-C7B1-47D3-B67F-A62EFF666E3E}">
          <x14:id>{EF63CA16-C6EE-4442-91EA-C969D8ED2951}</x14:id>
        </ext>
      </extLst>
    </cfRule>
  </conditionalFormatting>
  <conditionalFormatting sqref="E112">
    <cfRule type="expression" dxfId="342" priority="208">
      <formula>AND(B112&lt;&gt;1,ISNUMBER(C112),OR(ISNUMBER(D112),D112="PG"))</formula>
    </cfRule>
  </conditionalFormatting>
  <conditionalFormatting sqref="E113:E122">
    <cfRule type="expression" dxfId="341" priority="207">
      <formula>AND(B113&lt;&gt;1,ISNUMBER(C113),ISNUMBER(D113))</formula>
    </cfRule>
  </conditionalFormatting>
  <conditionalFormatting sqref="E126">
    <cfRule type="expression" dxfId="340" priority="206">
      <formula>AND(B126&lt;&gt;1,ISNUMBER(C126),OR(ISNUMBER(D126),D126="PG"))</formula>
    </cfRule>
  </conditionalFormatting>
  <conditionalFormatting sqref="E127:E136">
    <cfRule type="expression" dxfId="339" priority="205">
      <formula>AND(B127&lt;&gt;1,ISNUMBER(C127),ISNUMBER(D127))</formula>
    </cfRule>
  </conditionalFormatting>
  <conditionalFormatting sqref="E140">
    <cfRule type="expression" dxfId="338" priority="203">
      <formula>AND(B140&lt;&gt;1,ISNUMBER(C140),OR(ISNUMBER(D140),D140="PG"))</formula>
    </cfRule>
  </conditionalFormatting>
  <conditionalFormatting sqref="E141:E152">
    <cfRule type="expression" dxfId="337" priority="204">
      <formula>AND(B141&lt;&gt;1,ISNUMBER(C141),ISNUMBER(D141))</formula>
    </cfRule>
  </conditionalFormatting>
  <conditionalFormatting sqref="F11:F25">
    <cfRule type="expression" dxfId="336" priority="61">
      <formula>OR(AND($B11=1,LEN(F11)&gt;1,F11&lt;&gt;"NA"),AND($B11=0,ISNUMBER($C11)))</formula>
    </cfRule>
  </conditionalFormatting>
  <conditionalFormatting sqref="F29:F42">
    <cfRule type="expression" dxfId="335" priority="53">
      <formula>OR(AND($B29=1,LEN(F29)&gt;1,F29&lt;&gt;"NA"),AND($B29=0,ISNUMBER($C29)))</formula>
    </cfRule>
  </conditionalFormatting>
  <conditionalFormatting sqref="F46:F62">
    <cfRule type="expression" dxfId="334" priority="45">
      <formula>OR(AND($B46=1,LEN(F46)&gt;1,F46&lt;&gt;"NA"),AND($B46=0,ISNUMBER($C46)))</formula>
    </cfRule>
  </conditionalFormatting>
  <conditionalFormatting sqref="F66:F82">
    <cfRule type="expression" dxfId="333" priority="37">
      <formula>OR(AND($B66=1,LEN(F66)&gt;1,F66&lt;&gt;"NA"),AND($B66=0,ISNUMBER($C66)))</formula>
    </cfRule>
  </conditionalFormatting>
  <conditionalFormatting sqref="F86:F106">
    <cfRule type="expression" dxfId="332" priority="29">
      <formula>OR(AND($B86=1,LEN(F86)&gt;1,F86&lt;&gt;"NA"),AND($B86=0,ISNUMBER($C86)))</formula>
    </cfRule>
  </conditionalFormatting>
  <conditionalFormatting sqref="F112:F122">
    <cfRule type="expression" dxfId="331" priority="21">
      <formula>OR(AND($B112=1,LEN(F112)&gt;1,F112&lt;&gt;"NA"),AND($B112=0,ISNUMBER($C112)))</formula>
    </cfRule>
  </conditionalFormatting>
  <conditionalFormatting sqref="F126:F136">
    <cfRule type="expression" dxfId="330" priority="13">
      <formula>OR(AND($B126=1,LEN(F126)&gt;1,F126&lt;&gt;"NA"),AND($B126=0,ISNUMBER($C126)))</formula>
    </cfRule>
  </conditionalFormatting>
  <conditionalFormatting sqref="F140:F152">
    <cfRule type="expression" dxfId="329" priority="5">
      <formula>OR(AND($B140=1,LEN(F140)&gt;1,F140&lt;&gt;"NA"),AND($B140=0,ISNUMBER($C140)))</formula>
    </cfRule>
  </conditionalFormatting>
  <conditionalFormatting sqref="G11:G25">
    <cfRule type="expression" dxfId="328" priority="59" stopIfTrue="1">
      <formula>AND(B11=1,F11="NA", ISBLANK(G11))</formula>
    </cfRule>
    <cfRule type="expression" dxfId="327" priority="60" stopIfTrue="1">
      <formula>AND(B11=1,OR(F11="S",F11="N",ISBLANK(F11)), ISBLANK(G11))</formula>
    </cfRule>
    <cfRule type="expression" dxfId="326" priority="65">
      <formula>AND(B11=1,OR(F11="S",F11="N"), NOT(ISBLANK(G11)))</formula>
    </cfRule>
  </conditionalFormatting>
  <conditionalFormatting sqref="G29:G42">
    <cfRule type="expression" dxfId="325" priority="52" stopIfTrue="1">
      <formula>AND(B29=1,OR(F29="S",F29="N",ISBLANK(F29)), ISBLANK(G29))</formula>
    </cfRule>
    <cfRule type="expression" dxfId="324" priority="57">
      <formula>AND(B29=1,OR(F29="S",F29="N"), NOT(ISBLANK(G29)))</formula>
    </cfRule>
    <cfRule type="expression" dxfId="323" priority="51" stopIfTrue="1">
      <formula>AND(B29=1,F29="NA", ISBLANK(G29))</formula>
    </cfRule>
  </conditionalFormatting>
  <conditionalFormatting sqref="G46:G62">
    <cfRule type="expression" dxfId="322" priority="43" stopIfTrue="1">
      <formula>AND(B46=1,F46="NA", ISBLANK(G46))</formula>
    </cfRule>
    <cfRule type="expression" dxfId="321" priority="44" stopIfTrue="1">
      <formula>AND(B46=1,OR(F46="S",F46="N",ISBLANK(F46)), ISBLANK(G46))</formula>
    </cfRule>
    <cfRule type="expression" dxfId="320" priority="49">
      <formula>AND(B46=1,OR(F46="S",F46="N"), NOT(ISBLANK(G46)))</formula>
    </cfRule>
  </conditionalFormatting>
  <conditionalFormatting sqref="G66:G82">
    <cfRule type="expression" dxfId="319" priority="41">
      <formula>AND(B66=1,OR(F66="S",F66="N"), NOT(ISBLANK(G66)))</formula>
    </cfRule>
    <cfRule type="expression" dxfId="318" priority="35" stopIfTrue="1">
      <formula>AND(B66=1,F66="NA", ISBLANK(G66))</formula>
    </cfRule>
    <cfRule type="expression" dxfId="317" priority="36" stopIfTrue="1">
      <formula>AND(B66=1,OR(F66="S",F66="N",ISBLANK(F66)), ISBLANK(G66))</formula>
    </cfRule>
  </conditionalFormatting>
  <conditionalFormatting sqref="G86:G106">
    <cfRule type="expression" dxfId="316" priority="27" stopIfTrue="1">
      <formula>AND(B86=1,F86="NA", ISBLANK(G86))</formula>
    </cfRule>
    <cfRule type="expression" dxfId="315" priority="28" stopIfTrue="1">
      <formula>AND(B86=1,OR(F86="S",F86="N",ISBLANK(F86)), ISBLANK(G86))</formula>
    </cfRule>
    <cfRule type="expression" dxfId="314" priority="33">
      <formula>AND(B86=1,OR(F86="S",F86="N"), NOT(ISBLANK(G86)))</formula>
    </cfRule>
  </conditionalFormatting>
  <conditionalFormatting sqref="G112:G122">
    <cfRule type="expression" dxfId="313" priority="25">
      <formula>AND(B112=1,OR(F112="S",F112="N"), NOT(ISBLANK(G112)))</formula>
    </cfRule>
    <cfRule type="expression" dxfId="312" priority="19" stopIfTrue="1">
      <formula>AND(B112=1,F112="NA", ISBLANK(G112))</formula>
    </cfRule>
    <cfRule type="expression" dxfId="311" priority="20" stopIfTrue="1">
      <formula>AND(B112=1,OR(F112="S",F112="N",ISBLANK(F112)), ISBLANK(G112))</formula>
    </cfRule>
  </conditionalFormatting>
  <conditionalFormatting sqref="G125">
    <cfRule type="expression" dxfId="310" priority="262">
      <formula>AND(B125=1,F125="S", NOT(ISBLANK(G125)))</formula>
    </cfRule>
  </conditionalFormatting>
  <conditionalFormatting sqref="G126:G136">
    <cfRule type="expression" dxfId="309" priority="12" stopIfTrue="1">
      <formula>AND(B126=1,OR(F126="S",F126="N",ISBLANK(F126)), ISBLANK(G126))</formula>
    </cfRule>
    <cfRule type="expression" dxfId="308" priority="11" stopIfTrue="1">
      <formula>AND(B126=1,F126="NA", ISBLANK(G126))</formula>
    </cfRule>
    <cfRule type="expression" dxfId="307" priority="17">
      <formula>AND(B126=1,OR(F126="S",F126="N"), NOT(ISBLANK(G126)))</formula>
    </cfRule>
  </conditionalFormatting>
  <conditionalFormatting sqref="G140:G152">
    <cfRule type="expression" dxfId="306" priority="9">
      <formula>AND(B140=1,OR(F140="S",F140="N"), NOT(ISBLANK(G140)))</formula>
    </cfRule>
    <cfRule type="expression" dxfId="305" priority="3" stopIfTrue="1">
      <formula>AND(B140=1,F140="NA", ISBLANK(G140))</formula>
    </cfRule>
    <cfRule type="expression" dxfId="304" priority="4" stopIfTrue="1">
      <formula>AND(B140=1,OR(F140="S",F140="N",ISBLANK(F140)), ISBLANK(G140))</formula>
    </cfRule>
  </conditionalFormatting>
  <conditionalFormatting sqref="K11:K25">
    <cfRule type="expression" dxfId="302" priority="62" stopIfTrue="1">
      <formula>AND($B11=1,OR($F11="S",$F11="P"),ISBLANK($K11))</formula>
    </cfRule>
    <cfRule type="expression" dxfId="301" priority="58" stopIfTrue="1">
      <formula>AND($B11=1,OR($F11="N",$F11="NA"))</formula>
    </cfRule>
  </conditionalFormatting>
  <conditionalFormatting sqref="K29:K42">
    <cfRule type="expression" dxfId="300" priority="50" stopIfTrue="1">
      <formula>AND($B29=1,OR($F29="N",$F29="NA"))</formula>
    </cfRule>
    <cfRule type="expression" dxfId="299" priority="54" stopIfTrue="1">
      <formula>AND($B29=1,OR($F29="S",$F29="P"),ISBLANK($K29))</formula>
    </cfRule>
  </conditionalFormatting>
  <conditionalFormatting sqref="K46:K62">
    <cfRule type="expression" dxfId="297" priority="42" stopIfTrue="1">
      <formula>AND($B46=1,OR($F46="N",$F46="NA"))</formula>
    </cfRule>
    <cfRule type="expression" dxfId="296" priority="46" stopIfTrue="1">
      <formula>AND($B46=1,OR($F46="S",$F46="P"),ISBLANK($K46))</formula>
    </cfRule>
  </conditionalFormatting>
  <conditionalFormatting sqref="K66:K82">
    <cfRule type="expression" dxfId="294" priority="34" stopIfTrue="1">
      <formula>AND($B66=1,OR($F66="N",$F66="NA"))</formula>
    </cfRule>
    <cfRule type="expression" dxfId="292" priority="38" stopIfTrue="1">
      <formula>AND($B66=1,OR($F66="S",$F66="P"),ISBLANK($K66))</formula>
    </cfRule>
  </conditionalFormatting>
  <conditionalFormatting sqref="K86:K106">
    <cfRule type="expression" dxfId="291" priority="30" stopIfTrue="1">
      <formula>AND($B86=1,OR($F86="S",$F86="P"),ISBLANK($K86))</formula>
    </cfRule>
    <cfRule type="expression" dxfId="289" priority="26" stopIfTrue="1">
      <formula>AND($B86=1,OR($F86="N",$F86="NA"))</formula>
    </cfRule>
  </conditionalFormatting>
  <conditionalFormatting sqref="K112:K122">
    <cfRule type="expression" dxfId="288" priority="22" stopIfTrue="1">
      <formula>AND($B112=1,OR($F112="S",$F112="P"),ISBLANK($K112))</formula>
    </cfRule>
    <cfRule type="expression" dxfId="287" priority="18" stopIfTrue="1">
      <formula>AND($B112=1,OR($F112="N",$F112="NA"))</formula>
    </cfRule>
  </conditionalFormatting>
  <conditionalFormatting sqref="K126:K136">
    <cfRule type="expression" dxfId="285" priority="10" stopIfTrue="1">
      <formula>AND($B126=1,OR($F126="N",$F126="NA"))</formula>
    </cfRule>
    <cfRule type="expression" dxfId="283" priority="14" stopIfTrue="1">
      <formula>AND($B126=1,OR($F126="S",$F126="P"),ISBLANK($K126))</formula>
    </cfRule>
  </conditionalFormatting>
  <conditionalFormatting sqref="K140:K152">
    <cfRule type="expression" dxfId="282" priority="2" stopIfTrue="1">
      <formula>AND($B140=1,OR($F140="N",$F140="NA"))</formula>
    </cfRule>
    <cfRule type="expression" dxfId="280" priority="6" stopIfTrue="1">
      <formula>AND($B140=1,OR($F140="S",$F140="P"),ISBLANK($K140))</formula>
    </cfRule>
  </conditionalFormatting>
  <conditionalFormatting sqref="V5">
    <cfRule type="expression" dxfId="279" priority="1">
      <formula>AND((L5=1),ISBLANK($V5))</formula>
    </cfRule>
  </conditionalFormatting>
  <conditionalFormatting sqref="V11:V25">
    <cfRule type="expression" dxfId="278" priority="63">
      <formula>AND((L11=1),ISBLANK($V11))</formula>
    </cfRule>
  </conditionalFormatting>
  <conditionalFormatting sqref="V29:V42">
    <cfRule type="expression" dxfId="277" priority="55">
      <formula>AND((L29=1),ISBLANK($V29))</formula>
    </cfRule>
  </conditionalFormatting>
  <conditionalFormatting sqref="V46:V62">
    <cfRule type="expression" dxfId="276" priority="47">
      <formula>AND((L46=1),ISBLANK($V46))</formula>
    </cfRule>
  </conditionalFormatting>
  <conditionalFormatting sqref="V66:V82">
    <cfRule type="expression" dxfId="275" priority="39">
      <formula>AND((L66=1),ISBLANK($V66))</formula>
    </cfRule>
  </conditionalFormatting>
  <conditionalFormatting sqref="V86:V106">
    <cfRule type="expression" dxfId="274" priority="31">
      <formula>AND((L86=1),ISBLANK($V86))</formula>
    </cfRule>
  </conditionalFormatting>
  <conditionalFormatting sqref="V112:V122">
    <cfRule type="expression" dxfId="273" priority="23">
      <formula>AND((L112=1),ISBLANK($V112))</formula>
    </cfRule>
  </conditionalFormatting>
  <conditionalFormatting sqref="V126:V136">
    <cfRule type="expression" dxfId="272" priority="15">
      <formula>AND((L126=1),ISBLANK($V126))</formula>
    </cfRule>
  </conditionalFormatting>
  <conditionalFormatting sqref="V140:V152">
    <cfRule type="expression" dxfId="271" priority="7">
      <formula>AND((L140=1),ISBLANK($V140))</formula>
    </cfRule>
  </conditionalFormatting>
  <dataValidations count="5">
    <dataValidation type="list" allowBlank="1" showInputMessage="1" showErrorMessage="1" error="Opção inválida!" sqref="U86 U46 U126 U11 U29 M46:O46 U66 M66:O66 U112 M86:O86 M126:O126 M11:O11 M29:O29 Q46:S46 Q66:S66 M112:O112 Q112:S112 Q86:S86 Q126:S126 Q11:S11 Q29:S29 U140 M140:O140 Q140:S140" xr:uid="{A051281A-C4C6-4D56-9058-93F192F2315F}">
      <formula1>"0,1,2,3,4"</formula1>
    </dataValidation>
    <dataValidation type="list" allowBlank="1" showDropDown="1" showInputMessage="1" showErrorMessage="1" error="opção inválida!" sqref="I11:I25 I112:I123 I125:I136 I46:I62 I86:I106 I29:I42 I66:I82 I140:I152" xr:uid="{511BA8C6-884C-48FE-9260-8DD442B45AFA}">
      <formula1>"s,n,p,S,N,P"</formula1>
    </dataValidation>
    <dataValidation type="list" allowBlank="1" showDropDown="1" showInputMessage="1" showErrorMessage="1" error="opção inválida!" sqref="F112:F123 F11:F25 F125:F136 F46:F62 F86:F106 F29:F42 F66:F82 F140:F152" xr:uid="{74AADBEC-4713-409E-8A9E-212B101C047B}">
      <formula1>"s,n,S,N,p,P,na,NA,Na"</formula1>
    </dataValidation>
    <dataValidation type="list" allowBlank="1" showDropDown="1" showInputMessage="1" showErrorMessage="1" error="Opção inválida!" prompt="Há inovação?_x000a_1:Sim_x000a_0:Não" sqref="T112 T86 T126 T11 T29 T46 T66 T140" xr:uid="{C6355F74-B4DF-467A-8A8E-078B328C6A84}">
      <formula1>"0,1"</formula1>
    </dataValidation>
    <dataValidation type="list" allowBlank="1" showDropDown="1" showInputMessage="1" showErrorMessage="1" error="Opção inválida!" prompt="Aplica I.A.?   _x000a_1:SIm   _x000a_0 :Não" sqref="P112 P86 P126 P11 P29 P46 P66 P140" xr:uid="{50BBA9C9-7B55-4D1D-9F65-BA5A088CCC02}">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3B5A7DEB-66CF-4355-821E-665F4D2F4C9D}">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73F1E6F6-8B13-4083-AE5A-79085BA2A9B9}">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EF63CA16-C6EE-4442-91EA-C969D8ED2951}">
            <x14:dataBar minLength="0" maxLength="100" gradient="0">
              <x14:cfvo type="num">
                <xm:f>0.1</xm:f>
              </x14:cfvo>
              <x14:cfvo type="num">
                <xm:f>1</xm:f>
              </x14:cfvo>
              <x14:negativeFillColor rgb="FFFF0000"/>
              <x14:axisColor rgb="FF000000"/>
            </x14:dataBar>
          </x14:cfRule>
          <xm:sqref>E109</xm:sqref>
        </x14:conditionalFormatting>
        <x14:conditionalFormatting xmlns:xm="http://schemas.microsoft.com/office/excel/2006/main">
          <x14:cfRule type="expression" priority="64" id="{40CB9F6B-C9D9-4C07-999F-BAE20B66DB8A}">
            <xm:f>AND(B11=1,$J11&gt;Capa!$H$23)</xm:f>
            <x14:dxf>
              <fill>
                <patternFill>
                  <bgColor rgb="FFFFCCCC"/>
                </patternFill>
              </fill>
            </x14:dxf>
          </x14:cfRule>
          <xm:sqref>K11:K25</xm:sqref>
        </x14:conditionalFormatting>
        <x14:conditionalFormatting xmlns:xm="http://schemas.microsoft.com/office/excel/2006/main">
          <x14:cfRule type="expression" priority="56" id="{ED68C7C2-06F4-404F-8283-A6E9BD492DD6}">
            <xm:f>AND(B29=1,$J29&gt;Capa!$H$23)</xm:f>
            <x14:dxf>
              <fill>
                <patternFill>
                  <bgColor rgb="FFFFCCCC"/>
                </patternFill>
              </fill>
            </x14:dxf>
          </x14:cfRule>
          <xm:sqref>K29:K42</xm:sqref>
        </x14:conditionalFormatting>
        <x14:conditionalFormatting xmlns:xm="http://schemas.microsoft.com/office/excel/2006/main">
          <x14:cfRule type="expression" priority="48" id="{4F219313-35A5-469B-AAC7-219F34FFEF34}">
            <xm:f>AND(B46=1,$J46&gt;Capa!$H$23)</xm:f>
            <x14:dxf>
              <fill>
                <patternFill>
                  <bgColor rgb="FFFFCCCC"/>
                </patternFill>
              </fill>
            </x14:dxf>
          </x14:cfRule>
          <xm:sqref>K46:K62</xm:sqref>
        </x14:conditionalFormatting>
        <x14:conditionalFormatting xmlns:xm="http://schemas.microsoft.com/office/excel/2006/main">
          <x14:cfRule type="expression" priority="40" id="{592C8E50-C5AD-4FF8-9BB0-A8595DDB87CF}">
            <xm:f>AND(B66=1,$J66&gt;Capa!$H$23)</xm:f>
            <x14:dxf>
              <fill>
                <patternFill>
                  <bgColor rgb="FFFFCCCC"/>
                </patternFill>
              </fill>
            </x14:dxf>
          </x14:cfRule>
          <xm:sqref>K66:K82</xm:sqref>
        </x14:conditionalFormatting>
        <x14:conditionalFormatting xmlns:xm="http://schemas.microsoft.com/office/excel/2006/main">
          <x14:cfRule type="expression" priority="32" id="{EABC12C5-24DD-4666-99C4-2805FF89FA41}">
            <xm:f>AND(B86=1,$J86&gt;Capa!$H$23)</xm:f>
            <x14:dxf>
              <fill>
                <patternFill>
                  <bgColor rgb="FFFFCCCC"/>
                </patternFill>
              </fill>
            </x14:dxf>
          </x14:cfRule>
          <xm:sqref>K86:K106</xm:sqref>
        </x14:conditionalFormatting>
        <x14:conditionalFormatting xmlns:xm="http://schemas.microsoft.com/office/excel/2006/main">
          <x14:cfRule type="expression" priority="24" id="{5D4DDB0D-36E1-4262-81DB-7264DE98C024}">
            <xm:f>AND(B112=1,$J112&gt;Capa!$H$23)</xm:f>
            <x14:dxf>
              <fill>
                <patternFill>
                  <bgColor rgb="FFFFCCCC"/>
                </patternFill>
              </fill>
            </x14:dxf>
          </x14:cfRule>
          <xm:sqref>K112:K122</xm:sqref>
        </x14:conditionalFormatting>
        <x14:conditionalFormatting xmlns:xm="http://schemas.microsoft.com/office/excel/2006/main">
          <x14:cfRule type="expression" priority="16" id="{94E33A93-E6F8-41C3-82A2-6344165A05B6}">
            <xm:f>AND(B126=1,$J126&gt;Capa!$H$23)</xm:f>
            <x14:dxf>
              <fill>
                <patternFill>
                  <bgColor rgb="FFFFCCCC"/>
                </patternFill>
              </fill>
            </x14:dxf>
          </x14:cfRule>
          <xm:sqref>K126:K136</xm:sqref>
        </x14:conditionalFormatting>
        <x14:conditionalFormatting xmlns:xm="http://schemas.microsoft.com/office/excel/2006/main">
          <x14:cfRule type="expression" priority="8" id="{BF7051D4-29DC-45B3-9A74-4D49430BCB1A}">
            <xm:f>AND(B140=1,$J140&gt;Capa!$H$23)</xm:f>
            <x14:dxf>
              <fill>
                <patternFill>
                  <bgColor rgb="FFFFCCCC"/>
                </patternFill>
              </fill>
            </x14:dxf>
          </x14:cfRule>
          <xm:sqref>K140:K152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AG285"/>
  <sheetViews>
    <sheetView zoomScale="115" zoomScaleNormal="115" workbookViewId="0">
      <pane xSplit="5" ySplit="2" topLeftCell="F3" activePane="bottomRight" state="frozen"/>
      <selection pane="topRight" activeCell="F1" sqref="F1"/>
      <selection pane="bottomLeft" activeCell="A3" sqref="A3"/>
      <selection pane="bottomRight" activeCell="F11" sqref="F11"/>
    </sheetView>
  </sheetViews>
  <sheetFormatPr defaultColWidth="8.85546875" defaultRowHeight="21" x14ac:dyDescent="0.25"/>
  <cols>
    <col min="1" max="1" width="2.140625" style="210" customWidth="1"/>
    <col min="2" max="2" width="1.85546875" style="210" customWidth="1"/>
    <col min="3" max="3" width="2.42578125" style="1" customWidth="1"/>
    <col min="4" max="4" width="4.85546875" style="271" customWidth="1"/>
    <col min="5" max="5" width="52.5703125" style="272" customWidth="1"/>
    <col min="6" max="6" width="5.85546875" style="31" customWidth="1"/>
    <col min="7" max="7" width="32" style="273" customWidth="1"/>
    <col min="8" max="8" width="0.85546875" style="273" customWidth="1"/>
    <col min="9" max="9" width="5.85546875" style="31" customWidth="1"/>
    <col min="10" max="10" width="1.5703125" style="273" customWidth="1"/>
    <col min="11" max="11" width="30.42578125" style="274" customWidth="1"/>
    <col min="12" max="12" width="2.85546875" style="269" customWidth="1"/>
    <col min="13" max="18" width="4.85546875" style="62" customWidth="1"/>
    <col min="19" max="21" width="4.85546875" style="214" customWidth="1"/>
    <col min="22" max="22" width="29.7109375" style="214" customWidth="1"/>
    <col min="23" max="23" width="5.5703125" style="77" customWidth="1"/>
    <col min="24" max="24" width="2.7109375" style="214" customWidth="1"/>
    <col min="25" max="25" width="24.85546875" style="214" customWidth="1"/>
    <col min="26" max="26" width="20.42578125" style="214" customWidth="1"/>
    <col min="27" max="27" width="21.85546875" style="214" customWidth="1"/>
    <col min="28" max="28" width="25.5703125" style="214" customWidth="1"/>
    <col min="29" max="33" width="9.140625" style="214"/>
    <col min="34" max="16384" width="8.85546875" style="215"/>
  </cols>
  <sheetData>
    <row r="1" spans="1:28" ht="17.100000000000001" customHeight="1" x14ac:dyDescent="0.25">
      <c r="C1" s="139"/>
      <c r="D1" s="211"/>
      <c r="E1" s="212" t="str">
        <f>Capa!A1</f>
        <v xml:space="preserve">MEGplan®ESG </v>
      </c>
      <c r="F1" s="430" t="s">
        <v>22</v>
      </c>
      <c r="G1" s="432"/>
      <c r="H1" s="491"/>
      <c r="I1" s="427"/>
      <c r="J1" s="252"/>
      <c r="K1" s="434"/>
      <c r="L1" s="252"/>
      <c r="M1" s="725" t="s">
        <v>23</v>
      </c>
      <c r="N1" s="726"/>
      <c r="O1" s="726"/>
      <c r="P1" s="726"/>
      <c r="Q1" s="726"/>
      <c r="R1" s="726"/>
      <c r="S1" s="726"/>
      <c r="T1" s="727"/>
      <c r="U1" s="715" t="s">
        <v>24</v>
      </c>
      <c r="V1" s="587"/>
      <c r="W1" s="717" t="s">
        <v>25</v>
      </c>
      <c r="X1" s="602"/>
      <c r="Y1" s="600"/>
      <c r="Z1" s="600"/>
      <c r="AA1" s="600"/>
      <c r="AB1" s="600"/>
    </row>
    <row r="2" spans="1:28" ht="25.5" thickBot="1" x14ac:dyDescent="0.3">
      <c r="C2" s="8" t="s">
        <v>26</v>
      </c>
      <c r="D2" s="8" t="s">
        <v>27</v>
      </c>
      <c r="E2" s="386" t="str">
        <f>"PGs: "&amp;SUMIFS($B$1:$B$236,$A$1:$A$236,"="&amp;A4&amp;"??",$D$1:$D$236,"=PG",B$1:B$236,"&gt;0")&amp;"  LV: "&amp;SUMIFS($B$1:$B$236,$A$1:$A$236,"="&amp;A4&amp;"??",$D$1:$D$236,"&lt;&gt;PG",B$1:B$236,"&gt;0")</f>
        <v>PGs: 10  LV: 22</v>
      </c>
      <c r="F2" s="431" t="s">
        <v>28</v>
      </c>
      <c r="G2" s="433" t="s">
        <v>29</v>
      </c>
      <c r="H2" s="252"/>
      <c r="I2" s="466" t="s">
        <v>30</v>
      </c>
      <c r="J2" s="426" t="s">
        <v>31</v>
      </c>
      <c r="K2" s="435" t="s">
        <v>32</v>
      </c>
      <c r="L2" s="491"/>
      <c r="M2" s="590" t="s">
        <v>33</v>
      </c>
      <c r="N2" s="591" t="s">
        <v>34</v>
      </c>
      <c r="O2" s="591" t="s">
        <v>35</v>
      </c>
      <c r="P2" s="592" t="s">
        <v>36</v>
      </c>
      <c r="Q2" s="591" t="s">
        <v>37</v>
      </c>
      <c r="R2" s="591" t="s">
        <v>38</v>
      </c>
      <c r="S2" s="592" t="s">
        <v>39</v>
      </c>
      <c r="T2" s="593" t="s">
        <v>40</v>
      </c>
      <c r="U2" s="716"/>
      <c r="V2" s="589" t="s">
        <v>41</v>
      </c>
      <c r="W2" s="718"/>
      <c r="X2" s="603"/>
      <c r="Y2" s="601" t="s">
        <v>42</v>
      </c>
      <c r="Z2" s="601" t="s">
        <v>43</v>
      </c>
      <c r="AA2" s="601" t="s">
        <v>44</v>
      </c>
      <c r="AB2" s="601" t="s">
        <v>45</v>
      </c>
    </row>
    <row r="3" spans="1:28" ht="18.75" x14ac:dyDescent="0.25">
      <c r="A3" s="210" t="s">
        <v>641</v>
      </c>
      <c r="B3" s="7" t="str">
        <f>IF(  AND(ISNUMBER(C3),OR(ISNUMBER(D3),D3="PG")),IF(IF(Capa!$B$6="B",0,Capa!$B$6)&gt;=C3,1,0),"")</f>
        <v/>
      </c>
      <c r="C3" s="85"/>
      <c r="D3" s="86"/>
      <c r="E3" s="98">
        <f>IF(SUMIFS($B$1:$B$236,$A$1:$A$236,"="&amp;A4&amp;"??",B$1:B$236,"&gt;0")&lt;=0,0,COUNTIFS($F$1:$F$236,"*",$A$1:$A$236,"="&amp;A4&amp;"??",B$1:B$236,"&gt;0")/SUMIFS($B$1:$B$236,$A$1:$A$236,"="&amp;A4&amp;"??",B$1:B$236,"&gt;0"))</f>
        <v>0</v>
      </c>
      <c r="F3" s="37"/>
      <c r="G3" s="38"/>
      <c r="H3" s="220"/>
      <c r="I3" s="38"/>
      <c r="J3" s="37"/>
      <c r="K3" s="9"/>
      <c r="L3" s="491"/>
      <c r="M3" s="722">
        <f>MIN(IF(OR(Capa!$B$6="B",Capa!$B$6=1),AVERAGE(M7,M91,M158),(M7*'Quadro Geral'!D27+M91*'Quadro Geral'!D28+M158*'Quadro Geral'!D29)/'Quadro Geral'!D26)+U3,1)</f>
        <v>0</v>
      </c>
      <c r="N3" s="723"/>
      <c r="O3" s="723"/>
      <c r="P3" s="723"/>
      <c r="Q3" s="723"/>
      <c r="R3" s="723"/>
      <c r="S3" s="723"/>
      <c r="T3" s="724"/>
      <c r="U3" s="467">
        <f>IF(OR(AND(Capa!$B$6=2,P4&gt;0),AND(Capa!$B$6=3,P4&gt;1)),0.05,0)+IF(AND(Capa!$B$6=3,P4=1),0.02,0)+IF(OR(AND(Capa!$B$6=2,T4&gt;0),AND(Capa!$B$6=3,T4&gt;1)),0.05,0)+IF(AND(Capa!$B$6=3,T4=1),0.02,0)</f>
        <v>0</v>
      </c>
      <c r="V3" s="88"/>
      <c r="W3" s="472"/>
      <c r="X3" s="579"/>
      <c r="Y3" s="579"/>
      <c r="Z3" s="579"/>
      <c r="AA3" s="579"/>
      <c r="AB3" s="579"/>
    </row>
    <row r="4" spans="1:28" x14ac:dyDescent="0.25">
      <c r="A4" s="210" t="s">
        <v>641</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218" t="s">
        <v>642</v>
      </c>
      <c r="F4" s="382">
        <f>IF(COUNTIFS($A$1:$A$236,"="&amp;A4&amp;"??",$B$1:$B$236,"&gt;0",$D$1:$D$236,"&gt;0")&gt;0,(COUNTIFS($A$1:$A$236,"="&amp;A4&amp;"??",$B$1:$B$236,"&gt;0",$D$1:$D$236,"&gt;0",F$1:F$236,"=S")+COUNTIFS($A$1:$A$236,"="&amp;A4&amp;"??",$B$1:$B$236,"&gt;0",$D$1:$D$236,"&gt;0",$F$1:$F$236,"=P")+COUNTIFS($A$1:$A$236,"="&amp;A4&amp;"??",$B$1:$B$236,"&gt;0",$D$1:$D$236,"&gt;0",F$1:F$236,"=N")+COUNTIFS($A$1:$A$236,"="&amp;A4&amp;"??",$B$1:$B$236,"&gt;0",$D$1:$D$236,"&gt;0",F$1:F$236,"=NA"))/COUNTIFS($A$1:$A$236,"="&amp;A4&amp;"??",$B$1:$B$236,"&gt;0",$D$1:$D$236,"&gt;0"),0)</f>
        <v>0</v>
      </c>
      <c r="G4" s="235"/>
      <c r="H4" s="220"/>
      <c r="I4" s="382">
        <f>IF(COUNTIFS($A$1:$A$236,"="&amp;A4&amp;"??",$B$1:$B$236,"&gt;0",$D$1:$D$236,"&gt;0")&gt;0,
        (COUNTIFS($A$1:$A$236,"="&amp;A4&amp;"??",$B$1:$B$236,"&gt;0",$D$1:$D$236,"&gt;0",F$1:F$236,"=S",I$1:I$236,"") +
         (COUNTIFS($A$1:$A$236,"="&amp;A4&amp;"??",$B$1:$B$236,"&gt;0",$D$1:$D$236,"&gt;0",$F$1:$F$236,"=P",I$1:I$236,"")/2) +
         COUNTIFS($A$1:$A$236,"="&amp;A4&amp;"??",$B$1:$B$236,"&gt;0",$D$1:$D$236,"&gt;0",I$1:I$236,"=S") +
         (COUNTIFS($A$1:$A$236,"="&amp;A4&amp;"??",$B$1:$B$236,"&gt;0",$D$1:$D$236,"&gt;0",I$1:I$236,"=P")/2)
         )/COUNTIFS($A$1:$A$236,"="&amp;A4&amp;"??",$B$1:$B$236,"&gt;0",$D$1:$D$236,"&gt;0"),0)</f>
        <v>0</v>
      </c>
      <c r="J4" s="219"/>
      <c r="K4" s="296"/>
      <c r="L4" s="252"/>
      <c r="M4" s="614">
        <f>AVERAGE(M8,M92,M159)</f>
        <v>0</v>
      </c>
      <c r="N4" s="614">
        <f>AVERAGE(N8,N92,N159)</f>
        <v>0</v>
      </c>
      <c r="O4" s="614">
        <f>AVERAGE(O8,O92,O159)</f>
        <v>0</v>
      </c>
      <c r="P4" s="414">
        <f>P8+P92+P159</f>
        <v>0</v>
      </c>
      <c r="Q4" s="614">
        <f>AVERAGE(Q8,Q92,Q159)</f>
        <v>0</v>
      </c>
      <c r="R4" s="614">
        <f>AVERAGE(R8,R92,R159)</f>
        <v>0</v>
      </c>
      <c r="S4" s="614">
        <f>AVERAGE(S8,S92,S159)</f>
        <v>0</v>
      </c>
      <c r="T4" s="414">
        <f>T8+T92+T159</f>
        <v>0</v>
      </c>
      <c r="U4" s="451"/>
      <c r="V4" s="221"/>
      <c r="W4" s="604"/>
      <c r="X4" s="579"/>
      <c r="Y4" s="579"/>
      <c r="Z4" s="579"/>
      <c r="AA4" s="579"/>
      <c r="AB4" s="579"/>
    </row>
    <row r="5" spans="1:28" ht="72.599999999999994" customHeight="1" x14ac:dyDescent="0.25">
      <c r="A5" s="210" t="s">
        <v>641</v>
      </c>
      <c r="B5" s="7" t="str">
        <f>IF(  AND(ISNUMBER(C5),OR(ISNUMBER(D5),D5="PG")),IF(IF(Capa!$B$6="B",0,Capa!$B$6)&gt;=C5,1,0),"")</f>
        <v/>
      </c>
      <c r="C5" s="19" t="str">
        <f t="shared" ref="C5:C68" si="0">IF(ISBLANK(D5),"",IF(ISERR(SEARCH(D5&amp;"\","&lt;B&gt;\&lt;1&gt;\&lt;2&gt;\&lt;3&gt;\")),IF(AND(NOT(ISBLANK(C4)),C4&lt;=3),C4,""),
IF(SEARCH(D5&amp;"\","&lt;B&gt;\&lt;1&gt;\&lt;2&gt;\&lt;3&gt;\")=1,0,IF(SEARCH(D5&amp;"\","&lt;B&gt;\&lt;1&gt;\&lt;2&gt;\&lt;3&gt;\")=5,1,IF(SEARCH(D5&amp;"\","&lt;B&gt;\&lt;1&gt;\&lt;2&gt;\&lt;3&gt;\")=9,2,IF(SEARCH(D5&amp;"\","&lt;B&gt;\&lt;1&gt;\&lt;2&gt;\&lt;3&gt;\")=13,3,""))))))</f>
        <v/>
      </c>
      <c r="D5" s="20"/>
      <c r="E5" s="279" t="s">
        <v>643</v>
      </c>
      <c r="F5" s="290"/>
      <c r="G5" s="290"/>
      <c r="H5" s="252"/>
      <c r="I5" s="290"/>
      <c r="J5" s="253"/>
      <c r="K5" s="298"/>
      <c r="L5" s="701" t="str">
        <f>IF($F$4&gt;0.9,1,"")</f>
        <v/>
      </c>
      <c r="M5" s="728"/>
      <c r="N5" s="729"/>
      <c r="O5" s="729"/>
      <c r="P5" s="729"/>
      <c r="Q5" s="729"/>
      <c r="R5" s="729"/>
      <c r="S5" s="729"/>
      <c r="T5" s="730"/>
      <c r="U5" s="224"/>
      <c r="V5" s="464"/>
      <c r="W5" s="605"/>
      <c r="X5" s="522"/>
      <c r="Y5" s="522"/>
      <c r="Z5" s="522"/>
      <c r="AA5" s="522"/>
      <c r="AB5" s="522"/>
    </row>
    <row r="6" spans="1:28" ht="11.1" customHeight="1" x14ac:dyDescent="0.25">
      <c r="B6" s="7" t="str">
        <f>IF(  AND(ISNUMBER(C6),OR(ISNUMBER(D6),D6="PG")),IF(IF(Capa!$B$6="B",0,Capa!$B$6)&gt;=C6,1,0),"")</f>
        <v/>
      </c>
      <c r="C6" s="118" t="str">
        <f t="shared" si="0"/>
        <v/>
      </c>
      <c r="D6" s="122"/>
      <c r="E6" s="299"/>
      <c r="F6" s="123"/>
      <c r="G6" s="227"/>
      <c r="H6" s="227"/>
      <c r="I6" s="123"/>
      <c r="J6" s="227"/>
      <c r="K6" s="245"/>
      <c r="L6" s="219"/>
      <c r="M6" s="129"/>
      <c r="N6" s="129"/>
      <c r="O6" s="129"/>
      <c r="P6" s="129"/>
      <c r="Q6" s="129"/>
      <c r="R6" s="129"/>
      <c r="S6" s="247"/>
      <c r="T6" s="247"/>
      <c r="U6" s="282"/>
      <c r="V6" s="556"/>
      <c r="W6" s="138"/>
      <c r="X6" s="522"/>
      <c r="Y6" s="522"/>
      <c r="Z6" s="522"/>
      <c r="AA6" s="522"/>
      <c r="AB6" s="522"/>
    </row>
    <row r="7" spans="1:28" ht="20.25" x14ac:dyDescent="0.25">
      <c r="A7" s="210" t="s">
        <v>644</v>
      </c>
      <c r="B7" s="7" t="str">
        <f>IF(  AND(ISNUMBER(C7),OR(ISNUMBER(D7),D7="PG")),IF(IF(Capa!$B$6="B",0,Capa!$B$6)&gt;=C7,1,0),"")</f>
        <v/>
      </c>
      <c r="C7" s="117" t="str">
        <f t="shared" si="0"/>
        <v/>
      </c>
      <c r="D7" s="137"/>
      <c r="E7" s="300" t="s">
        <v>645</v>
      </c>
      <c r="F7" s="381">
        <f>IF(COUNTIFS($A$1:$A$236,"="&amp;A7&amp;"?",$B$1:$B$236,"&gt;0",$D$1:$D$236,"&gt;0")&gt;0,(COUNTIFS($A$1:$A$236,"="&amp;A7&amp;"?",$B$1:$B$236,"&gt;0",$D$1:$D$236,"&gt;0",F$1:F$236,"=S")+COUNTIFS($A$1:$A$236,"="&amp;A7&amp;"?",$B$1:$B$236,"&gt;0",$D$1:$D$236,"&gt;0",$F$1:$F$236,"=P")+COUNTIFS($A$1:$A$236,"="&amp;A7&amp;"?",$B$1:$B$236,"&gt;0",$D$1:$D$236,"&gt;0",F$1:F$236,"=N")+COUNTIFS($A$1:$A$236,"="&amp;A7&amp;"?",$B$1:$B$236,"&gt;0",$D$1:$D$236,"&gt;0",F$1:F$236,"=NA"))/COUNTIFS($A$1:$A$236,"="&amp;A7&amp;"?",$B$1:$B$236,"&gt;0",$D$1:$D$236,"&gt;0"),0)</f>
        <v>0</v>
      </c>
      <c r="G7" s="232"/>
      <c r="H7" s="232"/>
      <c r="I7" s="381">
        <f>IF(COUNTIFS($A$1:$A$236,"="&amp;A7&amp;"?",$B$1:$B$236,"&gt;0",$D$1:$D$236,"&gt;0")&gt;0,
        (COUNTIFS($A$1:$A$236,"="&amp;A7&amp;"?",$B$1:$B$236,"&gt;0",$D$1:$D$236,"&gt;0",F$1:F$236,"=S",I$1:I$236,"") +
         (COUNTIFS($A$1:$A$236,"="&amp;A7&amp;"?",$B$1:$B$236,"&gt;0",$D$1:$D$236,"&gt;0",$F$1:$F$236,"=P",I$1:I$236,"")/2) +
         COUNTIFS($A$1:$A$236,"="&amp;A7&amp;"?",$B$1:$B$236,"&gt;0",$D$1:$D$236,"&gt;0",I$1:I$236,"=S") +
         (COUNTIFS($A$1:$A$236,"="&amp;A7&amp;"?",$B$1:$B$236,"&gt;0",$D$1:$D$236,"&gt;0",I$1:I$236,"=P")/2)
         )/COUNTIFS($A$1:$A$236,"="&amp;A7&amp;"?",$B$1:$B$236,"&gt;0",$D$1:$D$236,"&gt;0"),0)</f>
        <v>0</v>
      </c>
      <c r="J7" s="232"/>
      <c r="K7" s="301"/>
      <c r="L7" s="252"/>
      <c r="M7" s="734">
        <f>(M8*20+N8*10+O8*10+Q8*30+R8*15+S8*15)/100</f>
        <v>0</v>
      </c>
      <c r="N7" s="734"/>
      <c r="O7" s="734"/>
      <c r="P7" s="734"/>
      <c r="Q7" s="734"/>
      <c r="R7" s="734"/>
      <c r="S7" s="734"/>
      <c r="T7" s="734"/>
      <c r="U7" s="449"/>
      <c r="V7" s="557"/>
      <c r="W7" s="606"/>
      <c r="X7" s="579"/>
      <c r="Y7" s="579"/>
      <c r="Z7" s="579"/>
      <c r="AA7" s="579"/>
      <c r="AB7" s="579"/>
    </row>
    <row r="8" spans="1:28" ht="14.85" customHeight="1" x14ac:dyDescent="0.25">
      <c r="A8" s="210" t="s">
        <v>644</v>
      </c>
      <c r="B8" s="7" t="str">
        <f>IF(  AND(ISNUMBER(C8),OR(ISNUMBER(D8),D8="PG")),IF(IF(Capa!$B$6="B",0,Capa!$B$6)&gt;=C8,1,0),"")</f>
        <v/>
      </c>
      <c r="C8" s="39" t="str">
        <f t="shared" si="0"/>
        <v/>
      </c>
      <c r="D8" s="135"/>
      <c r="E8" s="98">
        <f>IF(SUMIFS($B$1:$B$236,$A$1:$A$236,"="&amp;A7&amp;"?",B$1:B$236,"&gt;0")&lt;=0,0,COUNTIFS($F$1:$F$236,"*",$A$1:$A$236,"="&amp;A7&amp;"?",B$1:B$236,"&gt;0")/SUMIFS($B$1:$B$236,$A$1:$A$236,"="&amp;A7&amp;"?",B$1:B$236,"&gt;0"))</f>
        <v>0</v>
      </c>
      <c r="F8" s="116"/>
      <c r="G8" s="252"/>
      <c r="H8" s="253"/>
      <c r="I8" s="116"/>
      <c r="J8" s="253"/>
      <c r="K8" s="302"/>
      <c r="L8" s="284"/>
      <c r="M8" s="100">
        <f>(COUNTIFS($A$1:$A$236,"="&amp;$A7&amp;"?",$B$1:$B$236,"&gt;0",$D$1:$D$236,"=PG",M$1:M$236,"=1")*(IF(Capa!$B$6="B",100,IF(Capa!$B$6=1,50,IF(Capa!$B$6=2,33,25))))+COUNTIFS($A$1:$A$236,"="&amp;$A7&amp;"?",$B$1:$B$236,"&gt;0",$D$1:$D$236,"=PG",M$1:M$236,"=2")*(IF(Capa!$B$6="B",100,IF(Capa!$B$6=1,100,IF(Capa!$B$6=2,67,50))))+COUNTIFS($A$1:$A$236,"="&amp;$A7&amp;"?",$B$1:$B$236,"&gt;0",$D$1:$D$236,"=PG",M$1:M$236,"=3")*(IF(Capa!$B$6="B",100,IF(Capa!$B$6=1,100,IF(Capa!$B$6=2,100,75))))+COUNTIFS($A$1:$A$236,"="&amp;$A7&amp;"?",$B$1:$B$236,"&gt;0",$D$1:$D$236,"=PG",M$1:M$236,"=4")*100)/(COUNTIFS($A$1:$A$236,"="&amp;$A7&amp;"?",$B$1:$B$236,"&gt;0",$D$1:$D$236,"=PG")*100)</f>
        <v>0</v>
      </c>
      <c r="N8" s="100">
        <f>(COUNTIFS($A$1:$A$236,"="&amp;$A7&amp;"?",$B$1:$B$236,"&gt;0",$D$1:$D$236,"=PG",N$1:N$236,"=1")*(IF(Capa!$B$6="B",100,IF(Capa!$B$6=1,50,IF(Capa!$B$6=2,33,25))))+COUNTIFS($A$1:$A$236,"="&amp;$A7&amp;"?",$B$1:$B$236,"&gt;0",$D$1:$D$236,"=PG",N$1:N$236,"=2")*(IF(Capa!$B$6="B",100,IF(Capa!$B$6=1,100,IF(Capa!$B$6=2,67,50))))+COUNTIFS($A$1:$A$236,"="&amp;$A7&amp;"?",$B$1:$B$236,"&gt;0",$D$1:$D$236,"=PG",N$1:N$236,"=3")*(IF(Capa!$B$6="B",100,IF(Capa!$B$6=1,100,IF(Capa!$B$6=2,100,75))))+COUNTIFS($A$1:$A$236,"="&amp;$A7&amp;"?",$B$1:$B$236,"&gt;0",$D$1:$D$236,"=PG",N$1:N$236,"=4")*100)/(COUNTIFS($A$1:$A$236,"="&amp;$A7&amp;"?",$B$1:$B$236,"&gt;0",$D$1:$D$236,"=PG")*100)</f>
        <v>0</v>
      </c>
      <c r="O8" s="100">
        <f>(COUNTIFS($A$1:$A$236,"="&amp;$A7&amp;"?",$B$1:$B$236,"&gt;0",$D$1:$D$236,"=PG",O$1:O$236,"=1")*(IF(Capa!$B$6="B",100,IF(Capa!$B$6=1,50,IF(Capa!$B$6=2,33,25))))+COUNTIFS($A$1:$A$236,"="&amp;$A7&amp;"?",$B$1:$B$236,"&gt;0",$D$1:$D$236,"=PG",O$1:O$236,"=2")*(IF(Capa!$B$6="B",100,IF(Capa!$B$6=1,100,IF(Capa!$B$6=2,67,50))))+COUNTIFS($A$1:$A$236,"="&amp;$A7&amp;"?",$B$1:$B$236,"&gt;0",$D$1:$D$236,"=PG",O$1:O$236,"=3")*(IF(Capa!$B$6="B",100,IF(Capa!$B$6=1,100,IF(Capa!$B$6=2,100,75))))+COUNTIFS($A$1:$A$236,"="&amp;$A7&amp;"?",$B$1:$B$236,"&gt;0",$D$1:$D$236,"=PG",O$1:O$236,"=4")*100)/(COUNTIFS($A$1:$A$236,"="&amp;$A7&amp;"?",$B$1:$B$236,"&gt;0",$D$1:$D$236,"=PG")*100)</f>
        <v>0</v>
      </c>
      <c r="P8" s="414">
        <f>P11+P19+P55+P73</f>
        <v>0</v>
      </c>
      <c r="Q8" s="100">
        <f>(COUNTIFS($A$1:$A$236,"="&amp;$A7&amp;"?",$B$1:$B$236,"",$L$1:$L$236,"&gt;=0",Q$1:Q$236,"=1")*(IF(Capa!$B$6="B",100,IF(Capa!$B$6=1,50,IF(Capa!$B$6=2,33,25))))+COUNTIFS($A$1:$A$236,"="&amp;$A7&amp;"?",$B$1:$B$236,"",$L$1:$L$236,"&gt;=0",Q$1:Q$236,"=2")*(IF(Capa!$B$6="B",100,IF(Capa!$B$6=1,100,IF(Capa!$B$6=2,67,50))))+COUNTIFS($A$1:$A$236,"="&amp;$A7&amp;"?",$B$1:$B$236,"",$L$1:$L$236,"&gt;=0",Q$1:Q$236,"=3")*(IF(Capa!$B$6="B",100,IF(Capa!$B$6=1,100,IF(Capa!$B$6=2,100,75))))+COUNTIFS($A$1:$A$236,"="&amp;$A7&amp;"?",$B$1:$B$236,"",$L$1:$L$236,"&gt;=0",Q$1:Q$236,"=4")*100)/(COUNTIFS($A$1:$A$236,"="&amp;$A7&amp;"?",$B$1:$B$236,"",$L$1:$L$236,"&gt;=0")*100)</f>
        <v>0</v>
      </c>
      <c r="R8" s="100">
        <f>(COUNTIFS($A$1:$A$236,"="&amp;$A7&amp;"?",$B$1:$B$236,"&gt;0",$D$1:$D$236,"=PG",R$1:R$236,"=1")*(IF(Capa!$B$6="B",100,IF(Capa!$B$6=1,50,IF(Capa!$B$6=2,33,25))))+COUNTIFS($A$1:$A$236,"="&amp;$A7&amp;"?",$B$1:$B$236,"&gt;0",$D$1:$D$236,"=PG",R$1:R$236,"=2")*(IF(Capa!$B$6="B",100,IF(Capa!$B$6=1,100,IF(Capa!$B$6=2,67,50))))+COUNTIFS($A$1:$A$236,"="&amp;$A7&amp;"?",$B$1:$B$236,"&gt;0",$D$1:$D$236,"=PG",R$1:R$236,"=3")*(IF(Capa!$B$6="B",100,IF(Capa!$B$6=1,100,IF(Capa!$B$6=2,100,75))))+COUNTIFS($A$1:$A$236,"="&amp;$A7&amp;"?",$B$1:$B$236,"&gt;0",$D$1:$D$236,"=PG",R$1:R$236,"=4")*100)/(COUNTIFS($A$1:$A$236,"="&amp;$A7&amp;"?",$B$1:$B$236,"&gt;0",$D$1:$D$236,"=PG")*100)</f>
        <v>0</v>
      </c>
      <c r="S8" s="100">
        <f>(COUNTIFS($A$1:$A$236,"="&amp;$A7&amp;"?",$B$1:$B$236,"&gt;0",$D$1:$D$236,"=PG",S$1:S$236,"=1")*(IF(Capa!$B$6="B",100,IF(Capa!$B$6=1,50,IF(Capa!$B$6=2,33,25))))+COUNTIFS($A$1:$A$236,"="&amp;$A7&amp;"?",$B$1:$B$236,"&gt;0",$D$1:$D$236,"=PG",S$1:S$236,"=2")*(IF(Capa!$B$6="B",100,IF(Capa!$B$6=1,100,IF(Capa!$B$6=2,67,50))))+COUNTIFS($A$1:$A$236,"="&amp;$A7&amp;"?",$B$1:$B$236,"&gt;0",$D$1:$D$236,"=PG",S$1:S$236,"=3")*(IF(Capa!$B$6="B",100,IF(Capa!$B$6=1,100,IF(Capa!$B$6=2,100,75))))+COUNTIFS($A$1:$A$236,"="&amp;$A7&amp;"?",$B$1:$B$236,"&gt;0",$D$1:$D$236,"=PG",S$1:S$236,"=4")*100)/(COUNTIFS($A$1:$A$236,"="&amp;$A7&amp;"?",$B$1:$B$236,"&gt;0",$D$1:$D$236,"=PG")*100)</f>
        <v>0</v>
      </c>
      <c r="T8" s="414">
        <f>T11+T19+T55+T73</f>
        <v>0</v>
      </c>
      <c r="U8" s="100"/>
      <c r="V8" s="558"/>
      <c r="W8" s="607"/>
      <c r="X8" s="522"/>
      <c r="Y8" s="522"/>
      <c r="Z8" s="522"/>
      <c r="AA8" s="522"/>
      <c r="AB8" s="522"/>
    </row>
    <row r="9" spans="1:28" x14ac:dyDescent="0.25">
      <c r="A9" s="210" t="s">
        <v>646</v>
      </c>
      <c r="B9" s="7" t="str">
        <f>IF(  AND(ISNUMBER(C9),OR(ISNUMBER(D9),D9="PG")),IF(IF(Capa!$B$6="B",0,Capa!$B$6)&gt;=C9,1,0),"")</f>
        <v/>
      </c>
      <c r="C9" s="11" t="str">
        <f t="shared" si="0"/>
        <v/>
      </c>
      <c r="D9" s="15"/>
      <c r="E9" s="395" t="s">
        <v>647</v>
      </c>
      <c r="F9" s="40"/>
      <c r="G9" s="219"/>
      <c r="H9" s="219"/>
      <c r="I9" s="40"/>
      <c r="J9" s="219"/>
      <c r="K9" s="259"/>
      <c r="L9" s="383">
        <f>IF(AND($B11=1,D11="PG"),IF(COUNTIFS($A$1:$A$236,"="&amp;$A9,$B$1:$B$236,"&gt;0",$D$1:$D$236,"&gt;0")&gt;0,
        (COUNTIFS($A$1:$A$236,"="&amp;$A9,$B$1:$B$236,"&gt;0",$D$1:$D$236,"&gt;0",F$1:F$236,"=S",I$1:I$236,"") +
         (COUNTIFS($A$1:$A$236,"="&amp;$A9,$B$1:$B$236,"&gt;0",$D$1:$D$236,"&gt;0",$F$1:$F$236,"=P",I$1:I$236,"")/2) +
         COUNTIFS($A$1:$A$236,"="&amp;$A9,$B$1:$B$236,"&gt;0",$D$1:$D$236,"&gt;0",I$1:I$236,"=S") +
         (COUNTIFS($A$1:$A$236,"="&amp;$A9,$B$1:$B$236,"&gt;0",$D$1:$D$236,"&gt;0",I$1:I$236,"=P")/2)
         )/COUNTIFS($A$1:$A$236,"="&amp;$A9,$B$1:$B$236,"&gt;0",$D$1:$D$236,"&gt;0"),1),"")</f>
        <v>0</v>
      </c>
      <c r="M9" s="380"/>
      <c r="N9" s="70"/>
      <c r="O9" s="68"/>
      <c r="P9" s="68"/>
      <c r="Q9" s="83">
        <f>IF(L9="","",MIN(IF(ISBLANK(Q11),0,Q11),IF(L9&gt;0.9,4,IF(L9&gt;0.5,3,IF(L9&gt;0.3,2,IF(OR(L9&gt;0,Q11&gt;0),1,0))))))</f>
        <v>0</v>
      </c>
      <c r="R9" s="100"/>
      <c r="S9" s="303"/>
      <c r="T9" s="260"/>
      <c r="U9" s="260"/>
      <c r="V9" s="559"/>
      <c r="W9" s="604"/>
      <c r="X9" s="579"/>
      <c r="Y9" s="579"/>
      <c r="Z9" s="579"/>
      <c r="AA9" s="579"/>
      <c r="AB9" s="579"/>
    </row>
    <row r="10" spans="1:28" ht="5.45" customHeight="1" x14ac:dyDescent="0.25">
      <c r="A10" s="210" t="s">
        <v>646</v>
      </c>
      <c r="B10" s="7" t="str">
        <f>IF(  AND(ISNUMBER(C10),OR(ISNUMBER(D10),D10="PG")),IF(IF(Capa!$B$6="B",0,Capa!$B$6)&gt;=C10,1,0),"")</f>
        <v/>
      </c>
      <c r="C10" s="6">
        <f t="shared" si="0"/>
        <v>0</v>
      </c>
      <c r="D10" s="5" t="s">
        <v>53</v>
      </c>
      <c r="E10" s="391"/>
      <c r="F10" s="26"/>
      <c r="G10" s="264"/>
      <c r="H10" s="239"/>
      <c r="I10" s="26"/>
      <c r="J10" s="239"/>
      <c r="K10" s="304"/>
      <c r="L10" s="305"/>
      <c r="M10" s="79"/>
      <c r="N10" s="78"/>
      <c r="O10" s="59"/>
      <c r="P10" s="59"/>
      <c r="Q10" s="59"/>
      <c r="R10" s="59"/>
      <c r="S10" s="262"/>
      <c r="T10" s="262"/>
      <c r="U10" s="355"/>
      <c r="V10" s="465"/>
      <c r="W10" s="608"/>
      <c r="X10" s="522"/>
      <c r="Y10" s="522"/>
      <c r="Z10" s="522"/>
      <c r="AA10" s="522"/>
      <c r="AB10" s="522"/>
    </row>
    <row r="11" spans="1:28" ht="63.75" x14ac:dyDescent="0.25">
      <c r="A11" s="646" t="s">
        <v>646</v>
      </c>
      <c r="B11" s="7">
        <f>IF(  AND(ISNUMBER(C11),OR(ISNUMBER(D11),D11="PG")),IF(IF(Capa!$B$6="B",0,Capa!$B$6)&gt;=C11,1,0),"")</f>
        <v>1</v>
      </c>
      <c r="C11" s="6">
        <f t="shared" si="0"/>
        <v>0</v>
      </c>
      <c r="D11" s="647" t="s">
        <v>54</v>
      </c>
      <c r="E11" s="389" t="s">
        <v>648</v>
      </c>
      <c r="F11" s="513"/>
      <c r="G11" s="468"/>
      <c r="H11" s="241"/>
      <c r="I11" s="29"/>
      <c r="J11" s="239"/>
      <c r="K11" s="471"/>
      <c r="L11" s="697" t="str">
        <f>IF(OR(AND(NOT(ISBLANK(M11)),M11&lt;IF(Capa!$B$6&lt;&gt;"B",Capa!$B$6+1,1)),AND(NOT(ISBLANK(N11)),N11&lt;IF(Capa!$B$6&lt;&gt;"B",Capa!$B$6+1,1)),AND(NOT(ISBLANK(O11)),O11&lt;IF(Capa!$B$6&lt;&gt;"B",Capa!$B$6+1,1)),AND(NOT(ISBLANK(Q11)),Q11&lt;IF(Capa!$B$6&lt;&gt;"B",Capa!$B$6+1,1)),AND(NOT(ISBLANK(R11)),R11&lt;IF(Capa!$B$6&lt;&gt;"B",Capa!$B$6+1,1)),AND(NOT(ISBLANK(S11)),S11&lt;IF(Capa!$B$6&lt;&gt;"B",Capa!$B$6+1,1))),1,"")</f>
        <v/>
      </c>
      <c r="M11" s="81"/>
      <c r="N11" s="81"/>
      <c r="O11" s="81"/>
      <c r="P11" s="81"/>
      <c r="Q11" s="81"/>
      <c r="R11" s="81"/>
      <c r="S11" s="81"/>
      <c r="T11" s="81"/>
      <c r="U11" s="58"/>
      <c r="V11" s="464"/>
      <c r="W11" s="609"/>
      <c r="X11" s="666"/>
      <c r="Y11" s="522"/>
      <c r="Z11" s="522"/>
      <c r="AA11" s="522"/>
      <c r="AB11" s="522"/>
    </row>
    <row r="12" spans="1:28" ht="45" x14ac:dyDescent="0.25">
      <c r="A12" s="646" t="s">
        <v>646</v>
      </c>
      <c r="B12" s="7">
        <f>IF(  AND(ISNUMBER(C12),OR(ISNUMBER(D12),D12="PG")),IF(IF(Capa!$B$6="B",0,Capa!$B$6)&gt;=C12,1,0),"")</f>
        <v>1</v>
      </c>
      <c r="C12" s="6">
        <f t="shared" si="0"/>
        <v>0</v>
      </c>
      <c r="D12" s="647">
        <v>414</v>
      </c>
      <c r="E12" s="352" t="s">
        <v>649</v>
      </c>
      <c r="F12" s="513"/>
      <c r="G12" s="468"/>
      <c r="H12" s="241"/>
      <c r="I12" s="29"/>
      <c r="J12" s="425">
        <f>LEN(K12)</f>
        <v>0</v>
      </c>
      <c r="K12" s="471"/>
      <c r="L12" s="697" t="str">
        <f>IF(OR(I12="N",I12="P"),1,"")</f>
        <v/>
      </c>
      <c r="M12" s="719"/>
      <c r="N12" s="720"/>
      <c r="O12" s="720"/>
      <c r="P12" s="720"/>
      <c r="Q12" s="720"/>
      <c r="R12" s="720"/>
      <c r="S12" s="720"/>
      <c r="T12" s="721"/>
      <c r="U12" s="71"/>
      <c r="V12" s="464"/>
      <c r="W12" s="609"/>
      <c r="X12" s="522"/>
      <c r="Y12" s="522"/>
      <c r="Z12" s="522"/>
      <c r="AA12" s="522"/>
      <c r="AB12" s="522"/>
    </row>
    <row r="13" spans="1:28" ht="45" x14ac:dyDescent="0.25">
      <c r="A13" s="646" t="s">
        <v>646</v>
      </c>
      <c r="B13" s="7">
        <f>IF(  AND(ISNUMBER(C13),OR(ISNUMBER(D13),D13="PG")),IF(IF(Capa!$B$6="B",0,Capa!$B$6)&gt;=C13,1,0),"")</f>
        <v>1</v>
      </c>
      <c r="C13" s="6">
        <f t="shared" si="0"/>
        <v>0</v>
      </c>
      <c r="D13" s="647">
        <v>415</v>
      </c>
      <c r="E13" s="411" t="s">
        <v>650</v>
      </c>
      <c r="F13" s="513"/>
      <c r="G13" s="468"/>
      <c r="H13" s="241"/>
      <c r="I13" s="29"/>
      <c r="J13" s="425">
        <f>LEN(K13)</f>
        <v>0</v>
      </c>
      <c r="K13" s="471"/>
      <c r="L13" s="697" t="str">
        <f>IF(OR(I13="N",I13="P"),1,"")</f>
        <v/>
      </c>
      <c r="M13" s="719"/>
      <c r="N13" s="720"/>
      <c r="O13" s="720"/>
      <c r="P13" s="720"/>
      <c r="Q13" s="720"/>
      <c r="R13" s="720"/>
      <c r="S13" s="720"/>
      <c r="T13" s="721"/>
      <c r="U13" s="71"/>
      <c r="V13" s="464"/>
      <c r="W13" s="609"/>
      <c r="X13" s="522"/>
      <c r="Y13" s="522"/>
      <c r="Z13" s="522"/>
      <c r="AA13" s="522"/>
      <c r="AB13" s="522"/>
    </row>
    <row r="14" spans="1:28" ht="6" customHeight="1" x14ac:dyDescent="0.25">
      <c r="A14" s="646" t="s">
        <v>646</v>
      </c>
      <c r="B14" s="7" t="str">
        <f>IF(  AND(ISNUMBER(C14),OR(ISNUMBER(D14),D14="PG")),IF(IF(Capa!$B$6="B",0,Capa!$B$6)&gt;=C14,1,0),"")</f>
        <v/>
      </c>
      <c r="C14" s="6">
        <f t="shared" si="0"/>
        <v>2</v>
      </c>
      <c r="D14" s="647" t="s">
        <v>64</v>
      </c>
      <c r="E14" s="352"/>
      <c r="F14" s="513"/>
      <c r="G14" s="468"/>
      <c r="H14" s="241"/>
      <c r="I14" s="29"/>
      <c r="J14" s="425">
        <f>LEN(K14)</f>
        <v>0</v>
      </c>
      <c r="K14" s="471"/>
      <c r="L14" s="697" t="str">
        <f>IF(OR(I14="N",I14="P"),1,"")</f>
        <v/>
      </c>
      <c r="M14" s="719"/>
      <c r="N14" s="720"/>
      <c r="O14" s="720"/>
      <c r="P14" s="720"/>
      <c r="Q14" s="720"/>
      <c r="R14" s="720"/>
      <c r="S14" s="720"/>
      <c r="T14" s="721"/>
      <c r="U14" s="71"/>
      <c r="V14" s="464"/>
      <c r="W14" s="609"/>
      <c r="X14" s="522"/>
      <c r="Y14" s="522"/>
      <c r="Z14" s="522"/>
      <c r="AA14" s="522"/>
      <c r="AB14" s="522"/>
    </row>
    <row r="15" spans="1:28" ht="75" x14ac:dyDescent="0.25">
      <c r="A15" s="646" t="s">
        <v>646</v>
      </c>
      <c r="B15" s="7">
        <f>IF(  AND(ISNUMBER(C15),OR(ISNUMBER(D15),D15="PG")),IF(IF(Capa!$B$6="B",0,Capa!$B$6)&gt;=C15,1,0),"")</f>
        <v>0</v>
      </c>
      <c r="C15" s="6">
        <f t="shared" si="0"/>
        <v>2</v>
      </c>
      <c r="D15" s="647">
        <v>416</v>
      </c>
      <c r="E15" s="352" t="s">
        <v>651</v>
      </c>
      <c r="F15" s="513"/>
      <c r="G15" s="468"/>
      <c r="H15" s="241"/>
      <c r="I15" s="29"/>
      <c r="J15" s="425">
        <f>LEN(K15)</f>
        <v>0</v>
      </c>
      <c r="K15" s="471"/>
      <c r="L15" s="697" t="str">
        <f>IF(OR(I15="N",I15="P"),1,"")</f>
        <v/>
      </c>
      <c r="M15" s="719"/>
      <c r="N15" s="720"/>
      <c r="O15" s="720"/>
      <c r="P15" s="720"/>
      <c r="Q15" s="720"/>
      <c r="R15" s="720"/>
      <c r="S15" s="720"/>
      <c r="T15" s="721"/>
      <c r="U15" s="71"/>
      <c r="V15" s="464"/>
      <c r="W15" s="609"/>
      <c r="X15" s="522"/>
      <c r="Y15" s="522"/>
      <c r="Z15" s="522"/>
      <c r="AA15" s="522"/>
      <c r="AB15" s="522"/>
    </row>
    <row r="16" spans="1:28" ht="11.1" customHeight="1" x14ac:dyDescent="0.25">
      <c r="B16" s="7" t="str">
        <f>IF(  AND(ISNUMBER(C16),OR(ISNUMBER(D16),D16="PG")),IF(IF(Capa!$B$6="B",0,Capa!$B$6)&gt;=C16,1,0),"")</f>
        <v/>
      </c>
      <c r="C16" s="6" t="str">
        <f t="shared" si="0"/>
        <v/>
      </c>
      <c r="D16" s="122"/>
      <c r="E16" s="299"/>
      <c r="F16" s="123"/>
      <c r="G16" s="227"/>
      <c r="H16" s="227"/>
      <c r="I16" s="123"/>
      <c r="J16" s="227"/>
      <c r="K16" s="694"/>
      <c r="L16" s="219"/>
      <c r="M16" s="124"/>
      <c r="N16" s="124"/>
      <c r="O16" s="124"/>
      <c r="P16" s="124"/>
      <c r="Q16" s="124"/>
      <c r="R16" s="124"/>
      <c r="S16" s="251"/>
      <c r="T16" s="251"/>
      <c r="U16" s="260"/>
      <c r="V16" s="556"/>
      <c r="W16" s="138"/>
      <c r="X16" s="522"/>
      <c r="Y16" s="522"/>
      <c r="Z16" s="522"/>
      <c r="AA16" s="522"/>
      <c r="AB16" s="522"/>
    </row>
    <row r="17" spans="1:28" x14ac:dyDescent="0.25">
      <c r="A17" s="210" t="s">
        <v>652</v>
      </c>
      <c r="B17" s="7" t="str">
        <f>IF(  AND(ISNUMBER(C17),OR(ISNUMBER(D17),D17="PG")),IF(IF(Capa!$B$6="B",0,Capa!$B$6)&gt;=C17,1,0),"")</f>
        <v/>
      </c>
      <c r="C17" s="6" t="str">
        <f t="shared" si="0"/>
        <v/>
      </c>
      <c r="D17" s="15"/>
      <c r="E17" s="686" t="s">
        <v>653</v>
      </c>
      <c r="F17" s="517"/>
      <c r="G17" s="550"/>
      <c r="H17" s="219"/>
      <c r="I17" s="23"/>
      <c r="J17" s="219"/>
      <c r="K17" s="528"/>
      <c r="L17" s="383">
        <f>IF(AND($B19=1,D19="PG"),IF(COUNTIFS($A$1:$A$236,"="&amp;$A17,$B$1:$B$236,"&gt;0",$D$1:$D$236,"&gt;0")&gt;0,
        (COUNTIFS($A$1:$A$236,"="&amp;$A17,$B$1:$B$236,"&gt;0",$D$1:$D$236,"&gt;0",F$1:F$236,"=S",I$1:I$236,"") +
         (COUNTIFS($A$1:$A$236,"="&amp;$A17,$B$1:$B$236,"&gt;0",$D$1:$D$236,"&gt;0",$F$1:$F$236,"=P",I$1:I$236,"")/2) +
         COUNTIFS($A$1:$A$236,"="&amp;$A17,$B$1:$B$236,"&gt;0",$D$1:$D$236,"&gt;0",I$1:I$236,"=S") +
         (COUNTIFS($A$1:$A$236,"="&amp;$A17,$B$1:$B$236,"&gt;0",$D$1:$D$236,"&gt;0",I$1:I$236,"=P")/2)
         )/COUNTIFS($A$1:$A$236,"="&amp;$A17,$B$1:$B$236,"&gt;0",$D$1:$D$236,"&gt;0"),1),"")</f>
        <v>0</v>
      </c>
      <c r="M17" s="380"/>
      <c r="N17" s="70"/>
      <c r="O17" s="68"/>
      <c r="P17" s="68"/>
      <c r="Q17" s="83">
        <f>IF(L17="","",MIN(IF(ISBLANK(Q19),0,Q19),IF(L17&gt;0.9,4,IF(L17&gt;0.5,3,IF(L17&gt;0.3,2,IF(OR(L17&gt;0,Q19&gt;0),1,0))))))</f>
        <v>0</v>
      </c>
      <c r="R17" s="83"/>
      <c r="S17" s="303"/>
      <c r="T17" s="292"/>
      <c r="U17" s="292"/>
      <c r="V17" s="545"/>
      <c r="W17" s="604"/>
      <c r="X17" s="579"/>
      <c r="Y17" s="579"/>
      <c r="Z17" s="579"/>
      <c r="AA17" s="579"/>
      <c r="AB17" s="579"/>
    </row>
    <row r="18" spans="1:28" ht="6.6" customHeight="1" x14ac:dyDescent="0.25">
      <c r="A18" s="210" t="s">
        <v>652</v>
      </c>
      <c r="B18" s="7" t="str">
        <f>IF(  AND(ISNUMBER(C18),OR(ISNUMBER(D18),D18="PG")),IF(IF(Capa!$B$6="B",0,Capa!$B$6)&gt;=C18,1,0),"")</f>
        <v/>
      </c>
      <c r="C18" s="6">
        <f t="shared" si="0"/>
        <v>0</v>
      </c>
      <c r="D18" s="5" t="s">
        <v>53</v>
      </c>
      <c r="E18" s="391"/>
      <c r="F18" s="554"/>
      <c r="G18" s="561"/>
      <c r="H18" s="239"/>
      <c r="I18" s="26"/>
      <c r="J18" s="239"/>
      <c r="K18" s="563"/>
      <c r="L18" s="249"/>
      <c r="M18" s="124"/>
      <c r="N18" s="124"/>
      <c r="O18" s="124"/>
      <c r="P18" s="124"/>
      <c r="Q18" s="124"/>
      <c r="R18" s="124"/>
      <c r="S18" s="251"/>
      <c r="T18" s="251"/>
      <c r="U18" s="355"/>
      <c r="V18" s="465"/>
      <c r="W18" s="608"/>
      <c r="X18" s="522"/>
      <c r="Y18" s="522"/>
      <c r="Z18" s="522"/>
      <c r="AA18" s="522"/>
      <c r="AB18" s="522"/>
    </row>
    <row r="19" spans="1:28" ht="51" x14ac:dyDescent="0.25">
      <c r="A19" s="646" t="s">
        <v>652</v>
      </c>
      <c r="B19" s="7">
        <f>IF(  AND(ISNUMBER(C19),OR(ISNUMBER(D19),D19="PG")),IF(IF(Capa!$B$6="B",0,Capa!$B$6)&gt;=C19,1,0),"")</f>
        <v>1</v>
      </c>
      <c r="C19" s="6">
        <f t="shared" si="0"/>
        <v>0</v>
      </c>
      <c r="D19" s="647" t="s">
        <v>54</v>
      </c>
      <c r="E19" s="389" t="s">
        <v>654</v>
      </c>
      <c r="F19" s="513"/>
      <c r="G19" s="468"/>
      <c r="H19" s="241"/>
      <c r="I19" s="29"/>
      <c r="J19" s="239"/>
      <c r="K19" s="471"/>
      <c r="L19" s="697" t="str">
        <f>IF(OR(AND(NOT(ISBLANK(M19)),M19&lt;IF(Capa!$B$6&lt;&gt;"B",Capa!$B$6+1,1)),AND(NOT(ISBLANK(N19)),N19&lt;IF(Capa!$B$6&lt;&gt;"B",Capa!$B$6+1,1)),AND(NOT(ISBLANK(O19)),O19&lt;IF(Capa!$B$6&lt;&gt;"B",Capa!$B$6+1,1)),AND(NOT(ISBLANK(Q19)),Q19&lt;IF(Capa!$B$6&lt;&gt;"B",Capa!$B$6+1,1)),AND(NOT(ISBLANK(R19)),R19&lt;IF(Capa!$B$6&lt;&gt;"B",Capa!$B$6+1,1)),AND(NOT(ISBLANK(S19)),S19&lt;IF(Capa!$B$6&lt;&gt;"B",Capa!$B$6+1,1))),1,"")</f>
        <v/>
      </c>
      <c r="M19" s="81"/>
      <c r="N19" s="81"/>
      <c r="O19" s="81"/>
      <c r="P19" s="81"/>
      <c r="Q19" s="81"/>
      <c r="R19" s="81"/>
      <c r="S19" s="81"/>
      <c r="T19" s="81"/>
      <c r="U19" s="58"/>
      <c r="V19" s="464"/>
      <c r="W19" s="609"/>
      <c r="X19" s="666"/>
      <c r="Y19" s="522"/>
      <c r="Z19" s="522"/>
      <c r="AA19" s="522"/>
      <c r="AB19" s="522"/>
    </row>
    <row r="20" spans="1:28" ht="46.7" customHeight="1" x14ac:dyDescent="0.25">
      <c r="A20" s="646" t="s">
        <v>652</v>
      </c>
      <c r="B20" s="7">
        <f>IF(  AND(ISNUMBER(C20),OR(ISNUMBER(D20),D20="PG")),IF(IF(Capa!$B$6="B",0,Capa!$B$6)&gt;=C20,1,0),"")</f>
        <v>1</v>
      </c>
      <c r="C20" s="6">
        <f t="shared" si="0"/>
        <v>0</v>
      </c>
      <c r="D20" s="647">
        <v>417</v>
      </c>
      <c r="E20" s="352" t="s">
        <v>655</v>
      </c>
      <c r="F20" s="513"/>
      <c r="G20" s="468"/>
      <c r="H20" s="241"/>
      <c r="I20" s="29"/>
      <c r="J20" s="425">
        <f t="shared" ref="J20:J30" si="1">LEN(K20)</f>
        <v>0</v>
      </c>
      <c r="K20" s="471"/>
      <c r="L20" s="697" t="str">
        <f t="shared" ref="L20:L30" si="2">IF(OR(I20="N",I20="P"),1,"")</f>
        <v/>
      </c>
      <c r="M20" s="719"/>
      <c r="N20" s="720"/>
      <c r="O20" s="720"/>
      <c r="P20" s="720"/>
      <c r="Q20" s="720"/>
      <c r="R20" s="720"/>
      <c r="S20" s="720"/>
      <c r="T20" s="721"/>
      <c r="U20" s="71"/>
      <c r="V20" s="464"/>
      <c r="W20" s="609"/>
      <c r="X20" s="522"/>
      <c r="Y20" s="522"/>
      <c r="Z20" s="522"/>
      <c r="AA20" s="522"/>
      <c r="AB20" s="522"/>
    </row>
    <row r="21" spans="1:28" ht="60" customHeight="1" x14ac:dyDescent="0.25">
      <c r="A21" s="646" t="s">
        <v>652</v>
      </c>
      <c r="B21" s="7">
        <f>IF(  AND(ISNUMBER(C21),OR(ISNUMBER(D21),D21="PG")),IF(IF(Capa!$B$6="B",0,Capa!$B$6)&gt;=C21,1,0),"")</f>
        <v>1</v>
      </c>
      <c r="C21" s="6">
        <f t="shared" si="0"/>
        <v>0</v>
      </c>
      <c r="D21" s="647">
        <v>418</v>
      </c>
      <c r="E21" s="405" t="s">
        <v>656</v>
      </c>
      <c r="F21" s="513"/>
      <c r="G21" s="468"/>
      <c r="H21" s="241"/>
      <c r="I21" s="29"/>
      <c r="J21" s="425">
        <f t="shared" si="1"/>
        <v>0</v>
      </c>
      <c r="K21" s="471"/>
      <c r="L21" s="697" t="str">
        <f t="shared" si="2"/>
        <v/>
      </c>
      <c r="M21" s="719"/>
      <c r="N21" s="720"/>
      <c r="O21" s="720"/>
      <c r="P21" s="720"/>
      <c r="Q21" s="720"/>
      <c r="R21" s="720"/>
      <c r="S21" s="720"/>
      <c r="T21" s="721"/>
      <c r="U21" s="71"/>
      <c r="V21" s="464"/>
      <c r="W21" s="609"/>
      <c r="X21" s="522"/>
      <c r="Y21" s="522"/>
      <c r="Z21" s="522"/>
      <c r="AA21" s="522"/>
      <c r="AB21" s="522"/>
    </row>
    <row r="22" spans="1:28" ht="6.6" customHeight="1" x14ac:dyDescent="0.25">
      <c r="A22" s="646" t="s">
        <v>652</v>
      </c>
      <c r="B22" s="7" t="str">
        <f>IF(  AND(ISNUMBER(C22),OR(ISNUMBER(D22),D22="PG")),IF(IF(Capa!$B$6="B",0,Capa!$B$6)&gt;=C22,1,0),"")</f>
        <v/>
      </c>
      <c r="C22" s="6">
        <f t="shared" si="0"/>
        <v>1</v>
      </c>
      <c r="D22" s="647" t="s">
        <v>62</v>
      </c>
      <c r="E22" s="352"/>
      <c r="F22" s="513"/>
      <c r="G22" s="468"/>
      <c r="H22" s="241"/>
      <c r="I22" s="29"/>
      <c r="J22" s="425">
        <f t="shared" si="1"/>
        <v>0</v>
      </c>
      <c r="K22" s="471"/>
      <c r="L22" s="697" t="str">
        <f t="shared" si="2"/>
        <v/>
      </c>
      <c r="M22" s="719"/>
      <c r="N22" s="720"/>
      <c r="O22" s="720"/>
      <c r="P22" s="720"/>
      <c r="Q22" s="720"/>
      <c r="R22" s="720"/>
      <c r="S22" s="720"/>
      <c r="T22" s="721"/>
      <c r="U22" s="71"/>
      <c r="V22" s="464"/>
      <c r="W22" s="609"/>
      <c r="X22" s="522"/>
      <c r="Y22" s="522"/>
      <c r="Z22" s="522"/>
      <c r="AA22" s="522"/>
      <c r="AB22" s="522"/>
    </row>
    <row r="23" spans="1:28" ht="75" customHeight="1" x14ac:dyDescent="0.25">
      <c r="A23" s="646" t="s">
        <v>652</v>
      </c>
      <c r="B23" s="7">
        <f>IF(  AND(ISNUMBER(C23),OR(ISNUMBER(D23),D23="PG")),IF(IF(Capa!$B$6="B",0,Capa!$B$6)&gt;=C23,1,0),"")</f>
        <v>0</v>
      </c>
      <c r="C23" s="6">
        <f t="shared" si="0"/>
        <v>1</v>
      </c>
      <c r="D23" s="647">
        <v>419</v>
      </c>
      <c r="E23" s="352" t="s">
        <v>657</v>
      </c>
      <c r="F23" s="513"/>
      <c r="G23" s="468"/>
      <c r="H23" s="241"/>
      <c r="I23" s="29"/>
      <c r="J23" s="425">
        <f t="shared" si="1"/>
        <v>0</v>
      </c>
      <c r="K23" s="471"/>
      <c r="L23" s="697" t="str">
        <f t="shared" si="2"/>
        <v/>
      </c>
      <c r="M23" s="719"/>
      <c r="N23" s="720"/>
      <c r="O23" s="720"/>
      <c r="P23" s="720"/>
      <c r="Q23" s="720"/>
      <c r="R23" s="720"/>
      <c r="S23" s="720"/>
      <c r="T23" s="721"/>
      <c r="U23" s="71"/>
      <c r="V23" s="464"/>
      <c r="W23" s="609"/>
      <c r="X23" s="522"/>
      <c r="Y23" s="522"/>
      <c r="Z23" s="522"/>
      <c r="AA23" s="522"/>
      <c r="AB23" s="522"/>
    </row>
    <row r="24" spans="1:28" ht="49.7" customHeight="1" x14ac:dyDescent="0.25">
      <c r="A24" s="646" t="s">
        <v>652</v>
      </c>
      <c r="B24" s="7">
        <f>IF(  AND(ISNUMBER(C24),OR(ISNUMBER(D24),D24="PG")),IF(IF(Capa!$B$6="B",0,Capa!$B$6)&gt;=C24,1,0),"")</f>
        <v>0</v>
      </c>
      <c r="C24" s="6">
        <f t="shared" si="0"/>
        <v>1</v>
      </c>
      <c r="D24" s="647">
        <v>420</v>
      </c>
      <c r="E24" s="352" t="s">
        <v>658</v>
      </c>
      <c r="F24" s="513"/>
      <c r="G24" s="468"/>
      <c r="H24" s="241"/>
      <c r="I24" s="29"/>
      <c r="J24" s="425">
        <f t="shared" si="1"/>
        <v>0</v>
      </c>
      <c r="K24" s="471"/>
      <c r="L24" s="697" t="str">
        <f t="shared" si="2"/>
        <v/>
      </c>
      <c r="M24" s="719"/>
      <c r="N24" s="720"/>
      <c r="O24" s="720"/>
      <c r="P24" s="720"/>
      <c r="Q24" s="720"/>
      <c r="R24" s="720"/>
      <c r="S24" s="720"/>
      <c r="T24" s="721"/>
      <c r="U24" s="71"/>
      <c r="V24" s="464"/>
      <c r="W24" s="609"/>
      <c r="X24" s="522"/>
      <c r="Y24" s="522"/>
      <c r="Z24" s="522"/>
      <c r="AA24" s="522"/>
      <c r="AB24" s="522"/>
    </row>
    <row r="25" spans="1:28" ht="75" x14ac:dyDescent="0.25">
      <c r="A25" s="646" t="s">
        <v>652</v>
      </c>
      <c r="B25" s="7">
        <f>IF(  AND(ISNUMBER(C25),OR(ISNUMBER(D25),D25="PG")),IF(IF(Capa!$B$6="B",0,Capa!$B$6)&gt;=C25,1,0),"")</f>
        <v>0</v>
      </c>
      <c r="C25" s="6">
        <f t="shared" si="0"/>
        <v>1</v>
      </c>
      <c r="D25" s="647">
        <v>421</v>
      </c>
      <c r="E25" s="352" t="s">
        <v>659</v>
      </c>
      <c r="F25" s="513"/>
      <c r="G25" s="468"/>
      <c r="H25" s="241"/>
      <c r="I25" s="29"/>
      <c r="J25" s="425">
        <f t="shared" si="1"/>
        <v>0</v>
      </c>
      <c r="K25" s="471"/>
      <c r="L25" s="697" t="str">
        <f t="shared" si="2"/>
        <v/>
      </c>
      <c r="M25" s="719"/>
      <c r="N25" s="720"/>
      <c r="O25" s="720"/>
      <c r="P25" s="720"/>
      <c r="Q25" s="720"/>
      <c r="R25" s="720"/>
      <c r="S25" s="720"/>
      <c r="T25" s="721"/>
      <c r="U25" s="71"/>
      <c r="V25" s="464"/>
      <c r="W25" s="609"/>
      <c r="X25" s="522"/>
      <c r="Y25" s="522"/>
      <c r="Z25" s="522"/>
      <c r="AA25" s="522"/>
      <c r="AB25" s="522"/>
    </row>
    <row r="26" spans="1:28" ht="75" x14ac:dyDescent="0.25">
      <c r="A26" s="646" t="s">
        <v>652</v>
      </c>
      <c r="B26" s="7">
        <f>IF(  AND(ISNUMBER(C26),OR(ISNUMBER(D26),D26="PG")),IF(IF(Capa!$B$6="B",0,Capa!$B$6)&gt;=C26,1,0),"")</f>
        <v>0</v>
      </c>
      <c r="C26" s="6">
        <f t="shared" si="0"/>
        <v>1</v>
      </c>
      <c r="D26" s="647">
        <v>422</v>
      </c>
      <c r="E26" s="352" t="s">
        <v>660</v>
      </c>
      <c r="F26" s="513"/>
      <c r="G26" s="468"/>
      <c r="H26" s="241"/>
      <c r="I26" s="29"/>
      <c r="J26" s="425">
        <f t="shared" si="1"/>
        <v>0</v>
      </c>
      <c r="K26" s="471"/>
      <c r="L26" s="697" t="str">
        <f t="shared" si="2"/>
        <v/>
      </c>
      <c r="M26" s="719"/>
      <c r="N26" s="720"/>
      <c r="O26" s="720"/>
      <c r="P26" s="720"/>
      <c r="Q26" s="720"/>
      <c r="R26" s="720"/>
      <c r="S26" s="720"/>
      <c r="T26" s="721"/>
      <c r="U26" s="71"/>
      <c r="V26" s="464"/>
      <c r="W26" s="609"/>
      <c r="X26" s="522"/>
      <c r="Y26" s="522"/>
      <c r="Z26" s="522"/>
      <c r="AA26" s="522"/>
      <c r="AB26" s="522"/>
    </row>
    <row r="27" spans="1:28" ht="6.6" customHeight="1" x14ac:dyDescent="0.25">
      <c r="A27" s="646" t="s">
        <v>652</v>
      </c>
      <c r="B27" s="7" t="str">
        <f>IF(  AND(ISNUMBER(C27),OR(ISNUMBER(D27),D27="PG")),IF(IF(Capa!$B$6="B",0,Capa!$B$6)&gt;=C27,1,0),"")</f>
        <v/>
      </c>
      <c r="C27" s="6">
        <f t="shared" si="0"/>
        <v>2</v>
      </c>
      <c r="D27" s="647" t="s">
        <v>64</v>
      </c>
      <c r="E27" s="352"/>
      <c r="F27" s="513"/>
      <c r="G27" s="468"/>
      <c r="H27" s="241"/>
      <c r="I27" s="29"/>
      <c r="J27" s="425">
        <f t="shared" si="1"/>
        <v>0</v>
      </c>
      <c r="K27" s="471"/>
      <c r="L27" s="697" t="str">
        <f t="shared" si="2"/>
        <v/>
      </c>
      <c r="M27" s="719"/>
      <c r="N27" s="720"/>
      <c r="O27" s="720"/>
      <c r="P27" s="720"/>
      <c r="Q27" s="720"/>
      <c r="R27" s="720"/>
      <c r="S27" s="720"/>
      <c r="T27" s="721"/>
      <c r="U27" s="71"/>
      <c r="V27" s="464"/>
      <c r="W27" s="609"/>
      <c r="X27" s="522"/>
      <c r="Y27" s="522"/>
      <c r="Z27" s="522"/>
      <c r="AA27" s="522"/>
      <c r="AB27" s="522"/>
    </row>
    <row r="28" spans="1:28" ht="45" x14ac:dyDescent="0.25">
      <c r="A28" s="646" t="s">
        <v>652</v>
      </c>
      <c r="B28" s="7">
        <f>IF(  AND(ISNUMBER(C28),OR(ISNUMBER(D28),D28="PG")),IF(IF(Capa!$B$6="B",0,Capa!$B$6)&gt;=C28,1,0),"")</f>
        <v>0</v>
      </c>
      <c r="C28" s="6">
        <f t="shared" si="0"/>
        <v>2</v>
      </c>
      <c r="D28" s="647">
        <v>423</v>
      </c>
      <c r="E28" s="352" t="s">
        <v>661</v>
      </c>
      <c r="F28" s="513"/>
      <c r="G28" s="468"/>
      <c r="H28" s="241"/>
      <c r="I28" s="29"/>
      <c r="J28" s="425">
        <f t="shared" si="1"/>
        <v>0</v>
      </c>
      <c r="K28" s="471"/>
      <c r="L28" s="697" t="str">
        <f t="shared" si="2"/>
        <v/>
      </c>
      <c r="M28" s="719"/>
      <c r="N28" s="720"/>
      <c r="O28" s="720"/>
      <c r="P28" s="720"/>
      <c r="Q28" s="720"/>
      <c r="R28" s="720"/>
      <c r="S28" s="720"/>
      <c r="T28" s="721"/>
      <c r="U28" s="71"/>
      <c r="V28" s="464"/>
      <c r="W28" s="609"/>
      <c r="X28" s="522"/>
      <c r="Y28" s="522"/>
      <c r="Z28" s="522"/>
      <c r="AA28" s="522"/>
      <c r="AB28" s="522"/>
    </row>
    <row r="29" spans="1:28" ht="75" x14ac:dyDescent="0.25">
      <c r="A29" s="646" t="s">
        <v>652</v>
      </c>
      <c r="B29" s="7">
        <f>IF(  AND(ISNUMBER(C29),OR(ISNUMBER(D29),D29="PG")),IF(IF(Capa!$B$6="B",0,Capa!$B$6)&gt;=C29,1,0),"")</f>
        <v>0</v>
      </c>
      <c r="C29" s="6">
        <f t="shared" si="0"/>
        <v>2</v>
      </c>
      <c r="D29" s="647">
        <v>424</v>
      </c>
      <c r="E29" s="352" t="s">
        <v>662</v>
      </c>
      <c r="F29" s="513"/>
      <c r="G29" s="468"/>
      <c r="H29" s="241"/>
      <c r="I29" s="29"/>
      <c r="J29" s="425">
        <f t="shared" si="1"/>
        <v>0</v>
      </c>
      <c r="K29" s="471"/>
      <c r="L29" s="697" t="str">
        <f t="shared" si="2"/>
        <v/>
      </c>
      <c r="M29" s="719"/>
      <c r="N29" s="720"/>
      <c r="O29" s="720"/>
      <c r="P29" s="720"/>
      <c r="Q29" s="720"/>
      <c r="R29" s="720"/>
      <c r="S29" s="720"/>
      <c r="T29" s="721"/>
      <c r="U29" s="71"/>
      <c r="V29" s="464"/>
      <c r="W29" s="609"/>
      <c r="X29" s="666"/>
      <c r="Y29" s="522"/>
      <c r="Z29" s="522"/>
      <c r="AA29" s="522"/>
      <c r="AB29" s="522"/>
    </row>
    <row r="30" spans="1:28" ht="45" x14ac:dyDescent="0.25">
      <c r="A30" s="646" t="s">
        <v>652</v>
      </c>
      <c r="B30" s="7">
        <f>IF(  AND(ISNUMBER(C30),OR(ISNUMBER(D30),D30="PG")),IF(IF(Capa!$B$6="B",0,Capa!$B$6)&gt;=C30,1,0),"")</f>
        <v>0</v>
      </c>
      <c r="C30" s="6">
        <f t="shared" si="0"/>
        <v>2</v>
      </c>
      <c r="D30" s="647">
        <v>425</v>
      </c>
      <c r="E30" s="352" t="s">
        <v>663</v>
      </c>
      <c r="F30" s="513"/>
      <c r="G30" s="468"/>
      <c r="H30" s="241"/>
      <c r="I30" s="29"/>
      <c r="J30" s="425">
        <f t="shared" si="1"/>
        <v>0</v>
      </c>
      <c r="K30" s="471"/>
      <c r="L30" s="697" t="str">
        <f t="shared" si="2"/>
        <v/>
      </c>
      <c r="M30" s="719"/>
      <c r="N30" s="720"/>
      <c r="O30" s="720"/>
      <c r="P30" s="720"/>
      <c r="Q30" s="720"/>
      <c r="R30" s="720"/>
      <c r="S30" s="720"/>
      <c r="T30" s="721"/>
      <c r="U30" s="71"/>
      <c r="V30" s="464"/>
      <c r="W30" s="609"/>
      <c r="X30" s="522"/>
      <c r="Y30" s="522"/>
      <c r="Z30" s="522"/>
      <c r="AA30" s="522"/>
      <c r="AB30" s="522"/>
    </row>
    <row r="31" spans="1:28" x14ac:dyDescent="0.25">
      <c r="A31" s="646" t="s">
        <v>652</v>
      </c>
      <c r="B31" s="7" t="str">
        <f>IF(  AND(ISNUMBER(C31),OR(ISNUMBER(D31),D31="PG")),IF(IF(Capa!$B$6="B",0,Capa!$B$6)&gt;=C31,1,0),"")</f>
        <v/>
      </c>
      <c r="C31" s="6">
        <f t="shared" si="0"/>
        <v>2</v>
      </c>
      <c r="D31" s="647" t="s">
        <v>200</v>
      </c>
      <c r="E31" s="403" t="s">
        <v>664</v>
      </c>
      <c r="F31" s="519"/>
      <c r="G31" s="495"/>
      <c r="H31" s="384"/>
      <c r="I31" s="130"/>
      <c r="J31" s="253"/>
      <c r="K31" s="564"/>
      <c r="L31" s="213"/>
      <c r="M31" s="731"/>
      <c r="N31" s="732"/>
      <c r="O31" s="732"/>
      <c r="P31" s="732"/>
      <c r="Q31" s="732"/>
      <c r="R31" s="732"/>
      <c r="S31" s="732"/>
      <c r="T31" s="733"/>
      <c r="U31" s="71"/>
      <c r="V31" s="580"/>
      <c r="W31" s="668"/>
      <c r="X31" s="579"/>
      <c r="Y31" s="579"/>
      <c r="Z31" s="579"/>
      <c r="AA31" s="579"/>
      <c r="AB31" s="579"/>
    </row>
    <row r="32" spans="1:28" x14ac:dyDescent="0.25">
      <c r="A32" s="646" t="s">
        <v>652</v>
      </c>
      <c r="B32" s="7">
        <f>IF(  AND(ISNUMBER(C32),OR(ISNUMBER(D32),D32="PG")),IF(IF(Capa!$B$6="B",0,Capa!$B$6)&gt;=C32,1,0),"")</f>
        <v>0</v>
      </c>
      <c r="C32" s="6">
        <f t="shared" si="0"/>
        <v>2</v>
      </c>
      <c r="D32" s="647">
        <v>426</v>
      </c>
      <c r="E32" s="352" t="s">
        <v>665</v>
      </c>
      <c r="F32" s="513"/>
      <c r="G32" s="468"/>
      <c r="H32" s="241"/>
      <c r="I32" s="29"/>
      <c r="J32" s="425">
        <f t="shared" ref="J32:J40" si="3">LEN(K32)</f>
        <v>0</v>
      </c>
      <c r="K32" s="471"/>
      <c r="L32" s="697" t="str">
        <f t="shared" ref="L32:L40" si="4">IF(OR(I32="N",I32="P"),1,"")</f>
        <v/>
      </c>
      <c r="M32" s="719"/>
      <c r="N32" s="720"/>
      <c r="O32" s="720"/>
      <c r="P32" s="720"/>
      <c r="Q32" s="720"/>
      <c r="R32" s="720"/>
      <c r="S32" s="720"/>
      <c r="T32" s="721"/>
      <c r="U32" s="71"/>
      <c r="V32" s="464"/>
      <c r="W32" s="609"/>
      <c r="X32" s="522"/>
      <c r="Y32" s="522"/>
      <c r="Z32" s="522"/>
      <c r="AA32" s="522"/>
      <c r="AB32" s="522"/>
    </row>
    <row r="33" spans="1:28" ht="31.35" customHeight="1" x14ac:dyDescent="0.25">
      <c r="A33" s="646" t="s">
        <v>652</v>
      </c>
      <c r="B33" s="7">
        <f>IF(  AND(ISNUMBER(C33),OR(ISNUMBER(D33),D33="PG")),IF(IF(Capa!$B$6="B",0,Capa!$B$6)&gt;=C33,1,0),"")</f>
        <v>0</v>
      </c>
      <c r="C33" s="6">
        <f t="shared" si="0"/>
        <v>2</v>
      </c>
      <c r="D33" s="647">
        <v>427</v>
      </c>
      <c r="E33" s="352" t="s">
        <v>666</v>
      </c>
      <c r="F33" s="513"/>
      <c r="G33" s="468"/>
      <c r="H33" s="241"/>
      <c r="I33" s="29"/>
      <c r="J33" s="425">
        <f t="shared" si="3"/>
        <v>0</v>
      </c>
      <c r="K33" s="471"/>
      <c r="L33" s="697" t="str">
        <f t="shared" si="4"/>
        <v/>
      </c>
      <c r="M33" s="719"/>
      <c r="N33" s="720"/>
      <c r="O33" s="720"/>
      <c r="P33" s="720"/>
      <c r="Q33" s="720"/>
      <c r="R33" s="720"/>
      <c r="S33" s="720"/>
      <c r="T33" s="721"/>
      <c r="U33" s="71"/>
      <c r="V33" s="464"/>
      <c r="W33" s="609"/>
      <c r="X33" s="522"/>
      <c r="Y33" s="522"/>
      <c r="Z33" s="522"/>
      <c r="AA33" s="522"/>
      <c r="AB33" s="522"/>
    </row>
    <row r="34" spans="1:28" ht="30" x14ac:dyDescent="0.25">
      <c r="A34" s="646" t="s">
        <v>652</v>
      </c>
      <c r="B34" s="7">
        <f>IF(  AND(ISNUMBER(C34),OR(ISNUMBER(D34),D34="PG")),IF(IF(Capa!$B$6="B",0,Capa!$B$6)&gt;=C34,1,0),"")</f>
        <v>0</v>
      </c>
      <c r="C34" s="6">
        <f t="shared" si="0"/>
        <v>2</v>
      </c>
      <c r="D34" s="647">
        <v>428</v>
      </c>
      <c r="E34" s="352" t="s">
        <v>667</v>
      </c>
      <c r="F34" s="513"/>
      <c r="G34" s="468"/>
      <c r="H34" s="241"/>
      <c r="I34" s="29"/>
      <c r="J34" s="425">
        <f t="shared" si="3"/>
        <v>0</v>
      </c>
      <c r="K34" s="471"/>
      <c r="L34" s="697" t="str">
        <f t="shared" si="4"/>
        <v/>
      </c>
      <c r="M34" s="719"/>
      <c r="N34" s="720"/>
      <c r="O34" s="720"/>
      <c r="P34" s="720"/>
      <c r="Q34" s="720"/>
      <c r="R34" s="720"/>
      <c r="S34" s="720"/>
      <c r="T34" s="721"/>
      <c r="U34" s="71"/>
      <c r="V34" s="464"/>
      <c r="W34" s="609"/>
      <c r="X34" s="522"/>
      <c r="Y34" s="522"/>
      <c r="Z34" s="522"/>
      <c r="AA34" s="522"/>
      <c r="AB34" s="522"/>
    </row>
    <row r="35" spans="1:28" x14ac:dyDescent="0.25">
      <c r="A35" s="646" t="s">
        <v>652</v>
      </c>
      <c r="B35" s="7">
        <f>IF(  AND(ISNUMBER(C35),OR(ISNUMBER(D35),D35="PG")),IF(IF(Capa!$B$6="B",0,Capa!$B$6)&gt;=C35,1,0),"")</f>
        <v>0</v>
      </c>
      <c r="C35" s="6">
        <f t="shared" si="0"/>
        <v>2</v>
      </c>
      <c r="D35" s="647">
        <v>429</v>
      </c>
      <c r="E35" s="352" t="s">
        <v>668</v>
      </c>
      <c r="F35" s="513"/>
      <c r="G35" s="468"/>
      <c r="H35" s="241"/>
      <c r="I35" s="29"/>
      <c r="J35" s="425">
        <f t="shared" si="3"/>
        <v>0</v>
      </c>
      <c r="K35" s="471"/>
      <c r="L35" s="697" t="str">
        <f t="shared" si="4"/>
        <v/>
      </c>
      <c r="M35" s="719"/>
      <c r="N35" s="720"/>
      <c r="O35" s="720"/>
      <c r="P35" s="720"/>
      <c r="Q35" s="720"/>
      <c r="R35" s="720"/>
      <c r="S35" s="720"/>
      <c r="T35" s="721"/>
      <c r="U35" s="71"/>
      <c r="V35" s="464"/>
      <c r="W35" s="609"/>
      <c r="X35" s="522"/>
      <c r="Y35" s="522"/>
      <c r="Z35" s="522"/>
      <c r="AA35" s="522"/>
      <c r="AB35" s="522"/>
    </row>
    <row r="36" spans="1:28" ht="30" x14ac:dyDescent="0.25">
      <c r="A36" s="646" t="s">
        <v>652</v>
      </c>
      <c r="B36" s="7">
        <f>IF(  AND(ISNUMBER(C36),OR(ISNUMBER(D36),D36="PG")),IF(IF(Capa!$B$6="B",0,Capa!$B$6)&gt;=C36,1,0),"")</f>
        <v>0</v>
      </c>
      <c r="C36" s="6">
        <f t="shared" si="0"/>
        <v>2</v>
      </c>
      <c r="D36" s="647">
        <v>430</v>
      </c>
      <c r="E36" s="352" t="s">
        <v>669</v>
      </c>
      <c r="F36" s="513"/>
      <c r="G36" s="468"/>
      <c r="H36" s="241"/>
      <c r="I36" s="29"/>
      <c r="J36" s="425">
        <f t="shared" si="3"/>
        <v>0</v>
      </c>
      <c r="K36" s="471"/>
      <c r="L36" s="697" t="str">
        <f t="shared" si="4"/>
        <v/>
      </c>
      <c r="M36" s="719"/>
      <c r="N36" s="720"/>
      <c r="O36" s="720"/>
      <c r="P36" s="720"/>
      <c r="Q36" s="720"/>
      <c r="R36" s="720"/>
      <c r="S36" s="720"/>
      <c r="T36" s="721"/>
      <c r="U36" s="71"/>
      <c r="V36" s="464"/>
      <c r="W36" s="609"/>
      <c r="X36" s="666"/>
      <c r="Y36" s="522"/>
      <c r="Z36" s="522"/>
      <c r="AA36" s="522"/>
      <c r="AB36" s="522"/>
    </row>
    <row r="37" spans="1:28" x14ac:dyDescent="0.25">
      <c r="A37" s="646" t="s">
        <v>652</v>
      </c>
      <c r="B37" s="7">
        <f>IF(  AND(ISNUMBER(C37),OR(ISNUMBER(D37),D37="PG")),IF(IF(Capa!$B$6="B",0,Capa!$B$6)&gt;=C37,1,0),"")</f>
        <v>0</v>
      </c>
      <c r="C37" s="6">
        <f t="shared" si="0"/>
        <v>2</v>
      </c>
      <c r="D37" s="647">
        <v>431</v>
      </c>
      <c r="E37" s="352" t="s">
        <v>670</v>
      </c>
      <c r="F37" s="513"/>
      <c r="G37" s="468"/>
      <c r="H37" s="241"/>
      <c r="I37" s="29"/>
      <c r="J37" s="425">
        <f t="shared" si="3"/>
        <v>0</v>
      </c>
      <c r="K37" s="471"/>
      <c r="L37" s="697" t="str">
        <f t="shared" si="4"/>
        <v/>
      </c>
      <c r="M37" s="719"/>
      <c r="N37" s="720"/>
      <c r="O37" s="720"/>
      <c r="P37" s="720"/>
      <c r="Q37" s="720"/>
      <c r="R37" s="720"/>
      <c r="S37" s="720"/>
      <c r="T37" s="721"/>
      <c r="U37" s="71"/>
      <c r="V37" s="464"/>
      <c r="W37" s="609"/>
      <c r="X37" s="522"/>
      <c r="Y37" s="522"/>
      <c r="Z37" s="522"/>
      <c r="AA37" s="522"/>
      <c r="AB37" s="522"/>
    </row>
    <row r="38" spans="1:28" x14ac:dyDescent="0.25">
      <c r="A38" s="646" t="s">
        <v>652</v>
      </c>
      <c r="B38" s="7">
        <f>IF(  AND(ISNUMBER(C38),OR(ISNUMBER(D38),D38="PG")),IF(IF(Capa!$B$6="B",0,Capa!$B$6)&gt;=C38,1,0),"")</f>
        <v>0</v>
      </c>
      <c r="C38" s="6">
        <f t="shared" si="0"/>
        <v>2</v>
      </c>
      <c r="D38" s="647">
        <v>432</v>
      </c>
      <c r="E38" s="352" t="s">
        <v>671</v>
      </c>
      <c r="F38" s="513"/>
      <c r="G38" s="468"/>
      <c r="H38" s="241"/>
      <c r="I38" s="29"/>
      <c r="J38" s="425">
        <f t="shared" si="3"/>
        <v>0</v>
      </c>
      <c r="K38" s="471"/>
      <c r="L38" s="697" t="str">
        <f t="shared" si="4"/>
        <v/>
      </c>
      <c r="M38" s="719"/>
      <c r="N38" s="720"/>
      <c r="O38" s="720"/>
      <c r="P38" s="720"/>
      <c r="Q38" s="720"/>
      <c r="R38" s="720"/>
      <c r="S38" s="720"/>
      <c r="T38" s="721"/>
      <c r="U38" s="71"/>
      <c r="V38" s="464"/>
      <c r="W38" s="609"/>
      <c r="X38" s="522"/>
      <c r="Y38" s="522"/>
      <c r="Z38" s="522"/>
      <c r="AA38" s="522"/>
      <c r="AB38" s="522"/>
    </row>
    <row r="39" spans="1:28" ht="60" x14ac:dyDescent="0.25">
      <c r="A39" s="646" t="s">
        <v>652</v>
      </c>
      <c r="B39" s="7">
        <f>IF(  AND(ISNUMBER(C39),OR(ISNUMBER(D39),D39="PG")),IF(IF(Capa!$B$6="B",0,Capa!$B$6)&gt;=C39,1,0),"")</f>
        <v>0</v>
      </c>
      <c r="C39" s="6">
        <f t="shared" si="0"/>
        <v>2</v>
      </c>
      <c r="D39" s="647">
        <v>433</v>
      </c>
      <c r="E39" s="352" t="s">
        <v>672</v>
      </c>
      <c r="F39" s="513"/>
      <c r="G39" s="468"/>
      <c r="H39" s="241"/>
      <c r="I39" s="29"/>
      <c r="J39" s="425">
        <f t="shared" si="3"/>
        <v>0</v>
      </c>
      <c r="K39" s="471"/>
      <c r="L39" s="697" t="str">
        <f t="shared" si="4"/>
        <v/>
      </c>
      <c r="M39" s="719"/>
      <c r="N39" s="720"/>
      <c r="O39" s="720"/>
      <c r="P39" s="720"/>
      <c r="Q39" s="720"/>
      <c r="R39" s="720"/>
      <c r="S39" s="720"/>
      <c r="T39" s="721"/>
      <c r="U39" s="71"/>
      <c r="V39" s="464"/>
      <c r="W39" s="609"/>
      <c r="X39" s="522"/>
      <c r="Y39" s="522"/>
      <c r="Z39" s="522"/>
      <c r="AA39" s="522"/>
      <c r="AB39" s="522"/>
    </row>
    <row r="40" spans="1:28" ht="75" x14ac:dyDescent="0.25">
      <c r="A40" s="646" t="s">
        <v>652</v>
      </c>
      <c r="B40" s="7">
        <f>IF(  AND(ISNUMBER(C40),OR(ISNUMBER(D40),D40="PG")),IF(IF(Capa!$B$6="B",0,Capa!$B$6)&gt;=C40,1,0),"")</f>
        <v>0</v>
      </c>
      <c r="C40" s="6">
        <f t="shared" si="0"/>
        <v>2</v>
      </c>
      <c r="D40" s="647">
        <v>434</v>
      </c>
      <c r="E40" s="352" t="s">
        <v>673</v>
      </c>
      <c r="F40" s="513"/>
      <c r="G40" s="468"/>
      <c r="H40" s="241"/>
      <c r="I40" s="29"/>
      <c r="J40" s="425">
        <f t="shared" si="3"/>
        <v>0</v>
      </c>
      <c r="K40" s="471"/>
      <c r="L40" s="697" t="str">
        <f t="shared" si="4"/>
        <v/>
      </c>
      <c r="M40" s="719"/>
      <c r="N40" s="720"/>
      <c r="O40" s="720"/>
      <c r="P40" s="720"/>
      <c r="Q40" s="720"/>
      <c r="R40" s="720"/>
      <c r="S40" s="720"/>
      <c r="T40" s="721"/>
      <c r="U40" s="71"/>
      <c r="V40" s="464"/>
      <c r="W40" s="609"/>
      <c r="X40" s="522"/>
      <c r="Y40" s="522"/>
      <c r="Z40" s="522"/>
      <c r="AA40" s="522"/>
      <c r="AB40" s="522"/>
    </row>
    <row r="41" spans="1:28" ht="6" customHeight="1" x14ac:dyDescent="0.25">
      <c r="A41" s="646" t="s">
        <v>652</v>
      </c>
      <c r="B41" s="7" t="str">
        <f>IF(  AND(ISNUMBER(C41),OR(ISNUMBER(D41),D41="PG")),IF(IF(Capa!$B$6="B",0,Capa!$B$6)&gt;=C41,1,0),"")</f>
        <v/>
      </c>
      <c r="C41" s="6">
        <f t="shared" si="0"/>
        <v>3</v>
      </c>
      <c r="D41" s="647" t="s">
        <v>70</v>
      </c>
      <c r="E41" s="352"/>
      <c r="F41" s="513"/>
      <c r="G41" s="468"/>
      <c r="H41" s="241"/>
      <c r="I41" s="29"/>
      <c r="J41" s="239"/>
      <c r="K41" s="562"/>
      <c r="L41" s="213"/>
      <c r="M41" s="731"/>
      <c r="N41" s="732"/>
      <c r="O41" s="732"/>
      <c r="P41" s="732"/>
      <c r="Q41" s="732"/>
      <c r="R41" s="732"/>
      <c r="S41" s="732"/>
      <c r="T41" s="733"/>
      <c r="U41" s="71"/>
      <c r="V41" s="464"/>
      <c r="W41" s="609"/>
      <c r="X41" s="522"/>
      <c r="Y41" s="522"/>
      <c r="Z41" s="522"/>
      <c r="AA41" s="522"/>
      <c r="AB41" s="522"/>
    </row>
    <row r="42" spans="1:28" x14ac:dyDescent="0.25">
      <c r="A42" s="646" t="s">
        <v>652</v>
      </c>
      <c r="B42" s="7" t="str">
        <f>IF(  AND(ISNUMBER(C42),OR(ISNUMBER(D42),D42="PG")),IF(IF(Capa!$B$6="B",0,Capa!$B$6)&gt;=C42,1,0),"")</f>
        <v/>
      </c>
      <c r="C42" s="6">
        <f t="shared" si="0"/>
        <v>3</v>
      </c>
      <c r="D42" s="647" t="s">
        <v>200</v>
      </c>
      <c r="E42" s="403" t="s">
        <v>664</v>
      </c>
      <c r="F42" s="519"/>
      <c r="G42" s="495"/>
      <c r="H42" s="384"/>
      <c r="I42" s="130"/>
      <c r="J42" s="235"/>
      <c r="K42" s="564"/>
      <c r="L42" s="252"/>
      <c r="M42" s="731"/>
      <c r="N42" s="732"/>
      <c r="O42" s="732"/>
      <c r="P42" s="732"/>
      <c r="Q42" s="732"/>
      <c r="R42" s="732"/>
      <c r="S42" s="732"/>
      <c r="T42" s="733"/>
      <c r="U42" s="71"/>
      <c r="V42" s="580"/>
      <c r="W42" s="668"/>
      <c r="X42" s="579"/>
      <c r="Y42" s="579"/>
      <c r="Z42" s="579"/>
      <c r="AA42" s="579"/>
      <c r="AB42" s="579"/>
    </row>
    <row r="43" spans="1:28" x14ac:dyDescent="0.25">
      <c r="A43" s="646" t="s">
        <v>652</v>
      </c>
      <c r="B43" s="7">
        <f>IF(  AND(ISNUMBER(C43),OR(ISNUMBER(D43),D43="PG")),IF(IF(Capa!$B$6="B",0,Capa!$B$6)&gt;=C43,1,0),"")</f>
        <v>0</v>
      </c>
      <c r="C43" s="6">
        <f t="shared" si="0"/>
        <v>3</v>
      </c>
      <c r="D43" s="647">
        <v>435</v>
      </c>
      <c r="E43" s="352" t="s">
        <v>674</v>
      </c>
      <c r="F43" s="513"/>
      <c r="G43" s="468"/>
      <c r="H43" s="241"/>
      <c r="I43" s="29"/>
      <c r="J43" s="425">
        <f t="shared" ref="J43:J51" si="5">LEN(K43)</f>
        <v>0</v>
      </c>
      <c r="K43" s="471"/>
      <c r="L43" s="697" t="str">
        <f t="shared" ref="L43:L51" si="6">IF(OR(I43="N",I43="P"),1,"")</f>
        <v/>
      </c>
      <c r="M43" s="719"/>
      <c r="N43" s="720"/>
      <c r="O43" s="720"/>
      <c r="P43" s="720"/>
      <c r="Q43" s="720"/>
      <c r="R43" s="720"/>
      <c r="S43" s="720"/>
      <c r="T43" s="721"/>
      <c r="U43" s="71"/>
      <c r="V43" s="464"/>
      <c r="W43" s="609"/>
      <c r="X43" s="522"/>
      <c r="Y43" s="522"/>
      <c r="Z43" s="522"/>
      <c r="AA43" s="522"/>
      <c r="AB43" s="522"/>
    </row>
    <row r="44" spans="1:28" x14ac:dyDescent="0.25">
      <c r="A44" s="646" t="s">
        <v>652</v>
      </c>
      <c r="B44" s="7">
        <f>IF(  AND(ISNUMBER(C44),OR(ISNUMBER(D44),D44="PG")),IF(IF(Capa!$B$6="B",0,Capa!$B$6)&gt;=C44,1,0),"")</f>
        <v>0</v>
      </c>
      <c r="C44" s="6">
        <f t="shared" si="0"/>
        <v>3</v>
      </c>
      <c r="D44" s="647">
        <v>436</v>
      </c>
      <c r="E44" s="352" t="s">
        <v>675</v>
      </c>
      <c r="F44" s="513"/>
      <c r="G44" s="468"/>
      <c r="H44" s="241"/>
      <c r="I44" s="29"/>
      <c r="J44" s="425">
        <f t="shared" si="5"/>
        <v>0</v>
      </c>
      <c r="K44" s="471"/>
      <c r="L44" s="697" t="str">
        <f t="shared" si="6"/>
        <v/>
      </c>
      <c r="M44" s="719"/>
      <c r="N44" s="720"/>
      <c r="O44" s="720"/>
      <c r="P44" s="720"/>
      <c r="Q44" s="720"/>
      <c r="R44" s="720"/>
      <c r="S44" s="720"/>
      <c r="T44" s="721"/>
      <c r="U44" s="71"/>
      <c r="V44" s="464"/>
      <c r="W44" s="609"/>
      <c r="X44" s="522"/>
      <c r="Y44" s="522"/>
      <c r="Z44" s="522"/>
      <c r="AA44" s="522"/>
      <c r="AB44" s="522"/>
    </row>
    <row r="45" spans="1:28" ht="60" x14ac:dyDescent="0.25">
      <c r="A45" s="646" t="s">
        <v>652</v>
      </c>
      <c r="B45" s="7">
        <f>IF(  AND(ISNUMBER(C45),OR(ISNUMBER(D45),D45="PG")),IF(IF(Capa!$B$6="B",0,Capa!$B$6)&gt;=C45,1,0),"")</f>
        <v>0</v>
      </c>
      <c r="C45" s="6">
        <f t="shared" si="0"/>
        <v>3</v>
      </c>
      <c r="D45" s="647">
        <v>437</v>
      </c>
      <c r="E45" s="352" t="s">
        <v>676</v>
      </c>
      <c r="F45" s="513"/>
      <c r="G45" s="468"/>
      <c r="H45" s="241"/>
      <c r="I45" s="29"/>
      <c r="J45" s="425">
        <f t="shared" si="5"/>
        <v>0</v>
      </c>
      <c r="K45" s="471"/>
      <c r="L45" s="697" t="str">
        <f t="shared" si="6"/>
        <v/>
      </c>
      <c r="M45" s="719"/>
      <c r="N45" s="720"/>
      <c r="O45" s="720"/>
      <c r="P45" s="720"/>
      <c r="Q45" s="720"/>
      <c r="R45" s="720"/>
      <c r="S45" s="720"/>
      <c r="T45" s="721"/>
      <c r="U45" s="71"/>
      <c r="V45" s="464"/>
      <c r="W45" s="609"/>
      <c r="X45" s="522"/>
      <c r="Y45" s="522"/>
      <c r="Z45" s="522"/>
      <c r="AA45" s="522"/>
      <c r="AB45" s="522"/>
    </row>
    <row r="46" spans="1:28" ht="30" x14ac:dyDescent="0.25">
      <c r="A46" s="646" t="s">
        <v>652</v>
      </c>
      <c r="B46" s="7">
        <f>IF(  AND(ISNUMBER(C46),OR(ISNUMBER(D46),D46="PG")),IF(IF(Capa!$B$6="B",0,Capa!$B$6)&gt;=C46,1,0),"")</f>
        <v>0</v>
      </c>
      <c r="C46" s="6">
        <f t="shared" si="0"/>
        <v>3</v>
      </c>
      <c r="D46" s="647">
        <v>438</v>
      </c>
      <c r="E46" s="352" t="s">
        <v>677</v>
      </c>
      <c r="F46" s="513"/>
      <c r="G46" s="468"/>
      <c r="H46" s="241"/>
      <c r="I46" s="29"/>
      <c r="J46" s="425">
        <f t="shared" si="5"/>
        <v>0</v>
      </c>
      <c r="K46" s="471"/>
      <c r="L46" s="697" t="str">
        <f t="shared" si="6"/>
        <v/>
      </c>
      <c r="M46" s="719"/>
      <c r="N46" s="720"/>
      <c r="O46" s="720"/>
      <c r="P46" s="720"/>
      <c r="Q46" s="720"/>
      <c r="R46" s="720"/>
      <c r="S46" s="720"/>
      <c r="T46" s="721"/>
      <c r="U46" s="71"/>
      <c r="V46" s="464"/>
      <c r="W46" s="609"/>
      <c r="X46" s="522"/>
      <c r="Y46" s="522"/>
      <c r="Z46" s="522"/>
      <c r="AA46" s="522"/>
      <c r="AB46" s="522"/>
    </row>
    <row r="47" spans="1:28" x14ac:dyDescent="0.25">
      <c r="A47" s="646" t="s">
        <v>652</v>
      </c>
      <c r="B47" s="7">
        <f>IF(  AND(ISNUMBER(C47),OR(ISNUMBER(D47),D47="PG")),IF(IF(Capa!$B$6="B",0,Capa!$B$6)&gt;=C47,1,0),"")</f>
        <v>0</v>
      </c>
      <c r="C47" s="6">
        <f t="shared" si="0"/>
        <v>3</v>
      </c>
      <c r="D47" s="647">
        <v>439</v>
      </c>
      <c r="E47" s="352" t="s">
        <v>678</v>
      </c>
      <c r="F47" s="513"/>
      <c r="G47" s="468"/>
      <c r="H47" s="241"/>
      <c r="I47" s="29"/>
      <c r="J47" s="425">
        <f t="shared" si="5"/>
        <v>0</v>
      </c>
      <c r="K47" s="471"/>
      <c r="L47" s="697" t="str">
        <f t="shared" si="6"/>
        <v/>
      </c>
      <c r="M47" s="719"/>
      <c r="N47" s="720"/>
      <c r="O47" s="720"/>
      <c r="P47" s="720"/>
      <c r="Q47" s="720"/>
      <c r="R47" s="720"/>
      <c r="S47" s="720"/>
      <c r="T47" s="721"/>
      <c r="U47" s="71"/>
      <c r="V47" s="464"/>
      <c r="W47" s="609"/>
      <c r="X47" s="522"/>
      <c r="Y47" s="522"/>
      <c r="Z47" s="522"/>
      <c r="AA47" s="522"/>
      <c r="AB47" s="522"/>
    </row>
    <row r="48" spans="1:28" ht="60" x14ac:dyDescent="0.25">
      <c r="A48" s="646" t="s">
        <v>652</v>
      </c>
      <c r="B48" s="7">
        <f>IF(  AND(ISNUMBER(C48),OR(ISNUMBER(D48),D48="PG")),IF(IF(Capa!$B$6="B",0,Capa!$B$6)&gt;=C48,1,0),"")</f>
        <v>0</v>
      </c>
      <c r="C48" s="6">
        <f t="shared" si="0"/>
        <v>3</v>
      </c>
      <c r="D48" s="647">
        <v>440</v>
      </c>
      <c r="E48" s="352" t="s">
        <v>679</v>
      </c>
      <c r="F48" s="513"/>
      <c r="G48" s="468"/>
      <c r="H48" s="241"/>
      <c r="I48" s="29"/>
      <c r="J48" s="425">
        <f t="shared" si="5"/>
        <v>0</v>
      </c>
      <c r="K48" s="471"/>
      <c r="L48" s="697" t="str">
        <f t="shared" si="6"/>
        <v/>
      </c>
      <c r="M48" s="719"/>
      <c r="N48" s="720"/>
      <c r="O48" s="720"/>
      <c r="P48" s="720"/>
      <c r="Q48" s="720"/>
      <c r="R48" s="720"/>
      <c r="S48" s="720"/>
      <c r="T48" s="721"/>
      <c r="U48" s="71"/>
      <c r="V48" s="464"/>
      <c r="W48" s="609"/>
      <c r="X48" s="522"/>
      <c r="Y48" s="522"/>
      <c r="Z48" s="522"/>
      <c r="AA48" s="522"/>
      <c r="AB48" s="522"/>
    </row>
    <row r="49" spans="1:28" ht="30" x14ac:dyDescent="0.25">
      <c r="A49" s="646" t="s">
        <v>652</v>
      </c>
      <c r="B49" s="7">
        <f>IF(  AND(ISNUMBER(C49),OR(ISNUMBER(D49),D49="PG")),IF(IF(Capa!$B$6="B",0,Capa!$B$6)&gt;=C49,1,0),"")</f>
        <v>0</v>
      </c>
      <c r="C49" s="6">
        <f t="shared" si="0"/>
        <v>3</v>
      </c>
      <c r="D49" s="647">
        <v>441</v>
      </c>
      <c r="E49" s="352" t="s">
        <v>680</v>
      </c>
      <c r="F49" s="513"/>
      <c r="G49" s="468"/>
      <c r="H49" s="241"/>
      <c r="I49" s="29"/>
      <c r="J49" s="425">
        <f t="shared" si="5"/>
        <v>0</v>
      </c>
      <c r="K49" s="471"/>
      <c r="L49" s="697" t="str">
        <f t="shared" si="6"/>
        <v/>
      </c>
      <c r="M49" s="719"/>
      <c r="N49" s="720"/>
      <c r="O49" s="720"/>
      <c r="P49" s="720"/>
      <c r="Q49" s="720"/>
      <c r="R49" s="720"/>
      <c r="S49" s="720"/>
      <c r="T49" s="721"/>
      <c r="U49" s="71"/>
      <c r="V49" s="464"/>
      <c r="W49" s="609"/>
      <c r="X49" s="522"/>
      <c r="Y49" s="522"/>
      <c r="Z49" s="522"/>
      <c r="AA49" s="522"/>
      <c r="AB49" s="522"/>
    </row>
    <row r="50" spans="1:28" x14ac:dyDescent="0.25">
      <c r="A50" s="646" t="s">
        <v>652</v>
      </c>
      <c r="B50" s="7">
        <f>IF(  AND(ISNUMBER(C50),OR(ISNUMBER(D50),D50="PG")),IF(IF(Capa!$B$6="B",0,Capa!$B$6)&gt;=C50,1,0),"")</f>
        <v>0</v>
      </c>
      <c r="C50" s="6">
        <f t="shared" si="0"/>
        <v>3</v>
      </c>
      <c r="D50" s="647">
        <v>442</v>
      </c>
      <c r="E50" s="352" t="s">
        <v>681</v>
      </c>
      <c r="F50" s="513"/>
      <c r="G50" s="468"/>
      <c r="H50" s="241"/>
      <c r="I50" s="29"/>
      <c r="J50" s="425">
        <f t="shared" si="5"/>
        <v>0</v>
      </c>
      <c r="K50" s="471"/>
      <c r="L50" s="697" t="str">
        <f t="shared" si="6"/>
        <v/>
      </c>
      <c r="M50" s="719"/>
      <c r="N50" s="720"/>
      <c r="O50" s="720"/>
      <c r="P50" s="720"/>
      <c r="Q50" s="720"/>
      <c r="R50" s="720"/>
      <c r="S50" s="720"/>
      <c r="T50" s="721"/>
      <c r="U50" s="71"/>
      <c r="V50" s="464"/>
      <c r="W50" s="609"/>
      <c r="X50" s="522"/>
      <c r="Y50" s="522"/>
      <c r="Z50" s="522"/>
      <c r="AA50" s="522"/>
      <c r="AB50" s="522"/>
    </row>
    <row r="51" spans="1:28" ht="60" x14ac:dyDescent="0.25">
      <c r="A51" s="646" t="s">
        <v>652</v>
      </c>
      <c r="B51" s="7">
        <f>IF(  AND(ISNUMBER(C51),OR(ISNUMBER(D51),D51="PG")),IF(IF(Capa!$B$6="B",0,Capa!$B$6)&gt;=C51,1,0),"")</f>
        <v>0</v>
      </c>
      <c r="C51" s="6">
        <f t="shared" si="0"/>
        <v>3</v>
      </c>
      <c r="D51" s="647">
        <v>443</v>
      </c>
      <c r="E51" s="352" t="s">
        <v>682</v>
      </c>
      <c r="F51" s="513"/>
      <c r="G51" s="468"/>
      <c r="H51" s="241"/>
      <c r="I51" s="29"/>
      <c r="J51" s="425">
        <f t="shared" si="5"/>
        <v>0</v>
      </c>
      <c r="K51" s="471"/>
      <c r="L51" s="697" t="str">
        <f t="shared" si="6"/>
        <v/>
      </c>
      <c r="M51" s="719"/>
      <c r="N51" s="720"/>
      <c r="O51" s="720"/>
      <c r="P51" s="720"/>
      <c r="Q51" s="720"/>
      <c r="R51" s="720"/>
      <c r="S51" s="720"/>
      <c r="T51" s="721"/>
      <c r="U51" s="71"/>
      <c r="V51" s="464"/>
      <c r="W51" s="609"/>
      <c r="X51" s="522"/>
      <c r="Y51" s="522"/>
      <c r="Z51" s="522"/>
      <c r="AA51" s="522"/>
      <c r="AB51" s="522"/>
    </row>
    <row r="52" spans="1:28" ht="11.1" customHeight="1" x14ac:dyDescent="0.25">
      <c r="B52" s="7" t="str">
        <f>IF(  AND(ISNUMBER(C52),OR(ISNUMBER(D52),D52="PG")),IF(IF(Capa!$B$6="B",0,Capa!$B$6)&gt;=C52,1,0),"")</f>
        <v/>
      </c>
      <c r="C52" s="6" t="str">
        <f t="shared" si="0"/>
        <v/>
      </c>
      <c r="D52" s="122"/>
      <c r="E52" s="299"/>
      <c r="F52" s="123"/>
      <c r="G52" s="227"/>
      <c r="H52" s="227"/>
      <c r="I52" s="123"/>
      <c r="J52" s="227"/>
      <c r="K52" s="694"/>
      <c r="L52" s="219"/>
      <c r="M52" s="124"/>
      <c r="N52" s="124"/>
      <c r="O52" s="124"/>
      <c r="P52" s="129"/>
      <c r="Q52" s="124"/>
      <c r="R52" s="124"/>
      <c r="S52" s="251"/>
      <c r="T52" s="247"/>
      <c r="U52" s="260"/>
      <c r="V52" s="556"/>
      <c r="W52" s="138"/>
      <c r="X52" s="522"/>
      <c r="Y52" s="522"/>
      <c r="Z52" s="522"/>
      <c r="AA52" s="522"/>
      <c r="AB52" s="522"/>
    </row>
    <row r="53" spans="1:28" x14ac:dyDescent="0.25">
      <c r="A53" s="210" t="s">
        <v>683</v>
      </c>
      <c r="B53" s="7" t="str">
        <f>IF(  AND(ISNUMBER(C53),OR(ISNUMBER(D53),D53="PG")),IF(IF(Capa!$B$6="B",0,Capa!$B$6)&gt;=C53,1,0),"")</f>
        <v/>
      </c>
      <c r="C53" s="6" t="str">
        <f t="shared" si="0"/>
        <v/>
      </c>
      <c r="D53" s="15"/>
      <c r="E53" s="395" t="s">
        <v>684</v>
      </c>
      <c r="F53" s="517"/>
      <c r="G53" s="550"/>
      <c r="H53" s="219"/>
      <c r="I53" s="23"/>
      <c r="J53" s="219"/>
      <c r="K53" s="528"/>
      <c r="L53" s="383">
        <f>IF(AND($B55=1,D55="PG"),IF(COUNTIFS($A$1:$A$236,"="&amp;$A53,$B$1:$B$236,"&gt;0",$D$1:$D$236,"&gt;0")&gt;0,
        (COUNTIFS($A$1:$A$236,"="&amp;$A53,$B$1:$B$236,"&gt;0",$D$1:$D$236,"&gt;0",F$1:F$236,"=S",I$1:I$236,"") +
         (COUNTIFS($A$1:$A$236,"="&amp;$A53,$B$1:$B$236,"&gt;0",$D$1:$D$236,"&gt;0",$F$1:$F$236,"=P",I$1:I$236,"")/2) +
         COUNTIFS($A$1:$A$236,"="&amp;$A53,$B$1:$B$236,"&gt;0",$D$1:$D$236,"&gt;0",I$1:I$236,"=S") +
         (COUNTIFS($A$1:$A$236,"="&amp;$A53,$B$1:$B$236,"&gt;0",$D$1:$D$236,"&gt;0",I$1:I$236,"=P")/2)
         )/COUNTIFS($A$1:$A$236,"="&amp;$A53,$B$1:$B$236,"&gt;0",$D$1:$D$236,"&gt;0"),1),"")</f>
        <v>0</v>
      </c>
      <c r="M53" s="380"/>
      <c r="N53" s="70"/>
      <c r="O53" s="68"/>
      <c r="P53" s="68"/>
      <c r="Q53" s="83">
        <f>IF(L53="","",MIN(IF(ISBLANK(Q55),0,Q55),IF(L53&gt;0.9,4,IF(L53&gt;0.5,3,IF(L53&gt;0.3,2,IF(OR(L53&gt;0,Q55&gt;0),1,0))))))</f>
        <v>0</v>
      </c>
      <c r="R53" s="83"/>
      <c r="S53" s="303"/>
      <c r="T53" s="292"/>
      <c r="U53" s="292"/>
      <c r="V53" s="545"/>
      <c r="W53" s="604"/>
      <c r="X53" s="579"/>
      <c r="Y53" s="579"/>
      <c r="Z53" s="579"/>
      <c r="AA53" s="579"/>
      <c r="AB53" s="579"/>
    </row>
    <row r="54" spans="1:28" ht="5.45" customHeight="1" x14ac:dyDescent="0.25">
      <c r="A54" s="210" t="s">
        <v>683</v>
      </c>
      <c r="B54" s="7" t="str">
        <f>IF(  AND(ISNUMBER(C54),OR(ISNUMBER(D54),D54="PG")),IF(IF(Capa!$B$6="B",0,Capa!$B$6)&gt;=C54,1,0),"")</f>
        <v/>
      </c>
      <c r="C54" s="6">
        <f t="shared" si="0"/>
        <v>0</v>
      </c>
      <c r="D54" s="5" t="s">
        <v>53</v>
      </c>
      <c r="E54" s="407"/>
      <c r="F54" s="554"/>
      <c r="G54" s="561"/>
      <c r="H54" s="239"/>
      <c r="I54" s="26"/>
      <c r="J54" s="239"/>
      <c r="K54" s="563"/>
      <c r="L54" s="213"/>
      <c r="M54" s="82"/>
      <c r="N54" s="59"/>
      <c r="O54" s="59"/>
      <c r="P54" s="59"/>
      <c r="Q54" s="59"/>
      <c r="R54" s="59"/>
      <c r="S54" s="262"/>
      <c r="T54" s="262"/>
      <c r="U54" s="355"/>
      <c r="V54" s="465"/>
      <c r="W54" s="608"/>
      <c r="X54" s="522"/>
      <c r="Y54" s="522"/>
      <c r="Z54" s="522"/>
      <c r="AA54" s="522"/>
      <c r="AB54" s="522"/>
    </row>
    <row r="55" spans="1:28" ht="51" x14ac:dyDescent="0.25">
      <c r="A55" s="646" t="s">
        <v>683</v>
      </c>
      <c r="B55" s="7">
        <f>IF(  AND(ISNUMBER(C55),OR(ISNUMBER(D55),D55="PG")),IF(IF(Capa!$B$6="B",0,Capa!$B$6)&gt;=C55,1,0),"")</f>
        <v>1</v>
      </c>
      <c r="C55" s="6">
        <f t="shared" si="0"/>
        <v>0</v>
      </c>
      <c r="D55" s="647" t="s">
        <v>54</v>
      </c>
      <c r="E55" s="389" t="s">
        <v>685</v>
      </c>
      <c r="F55" s="513"/>
      <c r="G55" s="468"/>
      <c r="H55" s="241"/>
      <c r="I55" s="29"/>
      <c r="J55" s="239"/>
      <c r="K55" s="471"/>
      <c r="L55" s="697" t="str">
        <f>IF(OR(AND(NOT(ISBLANK(M55)),M55&lt;IF(Capa!$B$6&lt;&gt;"B",Capa!$B$6+1,1)),AND(NOT(ISBLANK(N55)),N55&lt;IF(Capa!$B$6&lt;&gt;"B",Capa!$B$6+1,1)),AND(NOT(ISBLANK(O55)),O55&lt;IF(Capa!$B$6&lt;&gt;"B",Capa!$B$6+1,1)),AND(NOT(ISBLANK(Q55)),Q55&lt;IF(Capa!$B$6&lt;&gt;"B",Capa!$B$6+1,1)),AND(NOT(ISBLANK(R55)),R55&lt;IF(Capa!$B$6&lt;&gt;"B",Capa!$B$6+1,1)),AND(NOT(ISBLANK(S55)),S55&lt;IF(Capa!$B$6&lt;&gt;"B",Capa!$B$6+1,1))),1,"")</f>
        <v/>
      </c>
      <c r="M55" s="81"/>
      <c r="N55" s="81"/>
      <c r="O55" s="81"/>
      <c r="P55" s="81"/>
      <c r="Q55" s="81"/>
      <c r="R55" s="81"/>
      <c r="S55" s="81"/>
      <c r="T55" s="81"/>
      <c r="U55" s="58"/>
      <c r="V55" s="464"/>
      <c r="W55" s="609"/>
      <c r="X55" s="666"/>
      <c r="Y55" s="522"/>
      <c r="Z55" s="522"/>
      <c r="AA55" s="522"/>
      <c r="AB55" s="522"/>
    </row>
    <row r="56" spans="1:28" ht="30" x14ac:dyDescent="0.25">
      <c r="A56" s="646" t="s">
        <v>683</v>
      </c>
      <c r="B56" s="7">
        <f>IF(  AND(ISNUMBER(C56),OR(ISNUMBER(D56),D56="PG")),IF(IF(Capa!$B$6="B",0,Capa!$B$6)&gt;=C56,1,0),"")</f>
        <v>1</v>
      </c>
      <c r="C56" s="6">
        <f t="shared" si="0"/>
        <v>0</v>
      </c>
      <c r="D56" s="647">
        <v>444</v>
      </c>
      <c r="E56" s="352" t="s">
        <v>686</v>
      </c>
      <c r="F56" s="513"/>
      <c r="G56" s="468"/>
      <c r="H56" s="241"/>
      <c r="I56" s="29"/>
      <c r="J56" s="425">
        <f t="shared" ref="J56:J69" si="7">LEN(K56)</f>
        <v>0</v>
      </c>
      <c r="K56" s="471"/>
      <c r="L56" s="697" t="str">
        <f t="shared" ref="L56:L69" si="8">IF(OR(I56="N",I56="P"),1,"")</f>
        <v/>
      </c>
      <c r="M56" s="719"/>
      <c r="N56" s="720"/>
      <c r="O56" s="720"/>
      <c r="P56" s="720"/>
      <c r="Q56" s="720"/>
      <c r="R56" s="720"/>
      <c r="S56" s="720"/>
      <c r="T56" s="721"/>
      <c r="U56" s="71"/>
      <c r="V56" s="464"/>
      <c r="W56" s="609"/>
      <c r="X56" s="522"/>
      <c r="Y56" s="522"/>
      <c r="Z56" s="522"/>
      <c r="AA56" s="522"/>
      <c r="AB56" s="522"/>
    </row>
    <row r="57" spans="1:28" ht="75" x14ac:dyDescent="0.25">
      <c r="A57" s="646" t="s">
        <v>683</v>
      </c>
      <c r="B57" s="7">
        <f>IF(  AND(ISNUMBER(C57),OR(ISNUMBER(D57),D57="PG")),IF(IF(Capa!$B$6="B",0,Capa!$B$6)&gt;=C57,1,0),"")</f>
        <v>1</v>
      </c>
      <c r="C57" s="6">
        <f t="shared" si="0"/>
        <v>0</v>
      </c>
      <c r="D57" s="647">
        <v>445</v>
      </c>
      <c r="E57" s="352" t="s">
        <v>687</v>
      </c>
      <c r="F57" s="513"/>
      <c r="G57" s="468"/>
      <c r="H57" s="241"/>
      <c r="I57" s="29"/>
      <c r="J57" s="425">
        <f t="shared" si="7"/>
        <v>0</v>
      </c>
      <c r="K57" s="471"/>
      <c r="L57" s="697" t="str">
        <f t="shared" si="8"/>
        <v/>
      </c>
      <c r="M57" s="719"/>
      <c r="N57" s="720"/>
      <c r="O57" s="720"/>
      <c r="P57" s="720"/>
      <c r="Q57" s="720"/>
      <c r="R57" s="720"/>
      <c r="S57" s="720"/>
      <c r="T57" s="721"/>
      <c r="U57" s="71"/>
      <c r="V57" s="464"/>
      <c r="W57" s="609"/>
      <c r="X57" s="522"/>
      <c r="Y57" s="522"/>
      <c r="Z57" s="522"/>
      <c r="AA57" s="522"/>
      <c r="AB57" s="522"/>
    </row>
    <row r="58" spans="1:28" ht="41.45" customHeight="1" x14ac:dyDescent="0.25">
      <c r="A58" s="646" t="s">
        <v>683</v>
      </c>
      <c r="B58" s="7">
        <f>IF(  AND(ISNUMBER(C58),OR(ISNUMBER(D58),D58="PG")),IF(IF(Capa!$B$6="B",0,Capa!$B$6)&gt;=C58,1,0),"")</f>
        <v>1</v>
      </c>
      <c r="C58" s="6">
        <f t="shared" si="0"/>
        <v>0</v>
      </c>
      <c r="D58" s="647">
        <v>446</v>
      </c>
      <c r="E58" s="352" t="s">
        <v>688</v>
      </c>
      <c r="F58" s="513"/>
      <c r="G58" s="468"/>
      <c r="H58" s="241"/>
      <c r="I58" s="29"/>
      <c r="J58" s="425">
        <f t="shared" si="7"/>
        <v>0</v>
      </c>
      <c r="K58" s="471"/>
      <c r="L58" s="697" t="str">
        <f t="shared" si="8"/>
        <v/>
      </c>
      <c r="M58" s="719"/>
      <c r="N58" s="720"/>
      <c r="O58" s="720"/>
      <c r="P58" s="720"/>
      <c r="Q58" s="720"/>
      <c r="R58" s="720"/>
      <c r="S58" s="720"/>
      <c r="T58" s="721"/>
      <c r="U58" s="71"/>
      <c r="V58" s="464"/>
      <c r="W58" s="609"/>
      <c r="X58" s="522"/>
      <c r="Y58" s="522"/>
      <c r="Z58" s="522"/>
      <c r="AA58" s="522"/>
      <c r="AB58" s="522"/>
    </row>
    <row r="59" spans="1:28" ht="7.7" customHeight="1" x14ac:dyDescent="0.25">
      <c r="A59" s="646" t="s">
        <v>683</v>
      </c>
      <c r="B59" s="7" t="str">
        <f>IF(  AND(ISNUMBER(C59),OR(ISNUMBER(D59),D59="PG")),IF(IF(Capa!$B$6="B",0,Capa!$B$6)&gt;=C59,1,0),"")</f>
        <v/>
      </c>
      <c r="C59" s="6">
        <f t="shared" si="0"/>
        <v>1</v>
      </c>
      <c r="D59" s="647" t="s">
        <v>62</v>
      </c>
      <c r="E59" s="352"/>
      <c r="F59" s="513"/>
      <c r="G59" s="468"/>
      <c r="H59" s="241"/>
      <c r="I59" s="29"/>
      <c r="J59" s="425">
        <f t="shared" si="7"/>
        <v>0</v>
      </c>
      <c r="K59" s="471"/>
      <c r="L59" s="697" t="str">
        <f t="shared" si="8"/>
        <v/>
      </c>
      <c r="M59" s="719"/>
      <c r="N59" s="720"/>
      <c r="O59" s="720"/>
      <c r="P59" s="720"/>
      <c r="Q59" s="720"/>
      <c r="R59" s="720"/>
      <c r="S59" s="720"/>
      <c r="T59" s="721"/>
      <c r="U59" s="71"/>
      <c r="V59" s="464"/>
      <c r="W59" s="609"/>
      <c r="X59" s="522"/>
      <c r="Y59" s="522"/>
      <c r="Z59" s="522"/>
      <c r="AA59" s="522"/>
      <c r="AB59" s="522"/>
    </row>
    <row r="60" spans="1:28" ht="45.6" customHeight="1" x14ac:dyDescent="0.25">
      <c r="A60" s="646" t="s">
        <v>683</v>
      </c>
      <c r="B60" s="7">
        <f>IF(  AND(ISNUMBER(C60),OR(ISNUMBER(D60),D60="PG")),IF(IF(Capa!$B$6="B",0,Capa!$B$6)&gt;=C60,1,0),"")</f>
        <v>0</v>
      </c>
      <c r="C60" s="6">
        <f t="shared" si="0"/>
        <v>1</v>
      </c>
      <c r="D60" s="647">
        <v>447</v>
      </c>
      <c r="E60" s="352" t="s">
        <v>689</v>
      </c>
      <c r="F60" s="513"/>
      <c r="G60" s="468"/>
      <c r="H60" s="241"/>
      <c r="I60" s="29"/>
      <c r="J60" s="425">
        <f t="shared" si="7"/>
        <v>0</v>
      </c>
      <c r="K60" s="471"/>
      <c r="L60" s="697" t="str">
        <f t="shared" si="8"/>
        <v/>
      </c>
      <c r="M60" s="719"/>
      <c r="N60" s="720"/>
      <c r="O60" s="720"/>
      <c r="P60" s="720"/>
      <c r="Q60" s="720"/>
      <c r="R60" s="720"/>
      <c r="S60" s="720"/>
      <c r="T60" s="721"/>
      <c r="U60" s="71"/>
      <c r="V60" s="464"/>
      <c r="W60" s="609"/>
      <c r="X60" s="522"/>
      <c r="Y60" s="522"/>
      <c r="Z60" s="522"/>
      <c r="AA60" s="522"/>
      <c r="AB60" s="522"/>
    </row>
    <row r="61" spans="1:28" ht="57.6" customHeight="1" x14ac:dyDescent="0.25">
      <c r="A61" s="646" t="s">
        <v>683</v>
      </c>
      <c r="B61" s="7">
        <f>IF(  AND(ISNUMBER(C61),OR(ISNUMBER(D61),D61="PG")),IF(IF(Capa!$B$6="B",0,Capa!$B$6)&gt;=C61,1,0),"")</f>
        <v>0</v>
      </c>
      <c r="C61" s="6">
        <f t="shared" si="0"/>
        <v>1</v>
      </c>
      <c r="D61" s="647">
        <v>448</v>
      </c>
      <c r="E61" s="352" t="s">
        <v>690</v>
      </c>
      <c r="F61" s="513"/>
      <c r="G61" s="468"/>
      <c r="H61" s="241"/>
      <c r="I61" s="29"/>
      <c r="J61" s="425">
        <f t="shared" si="7"/>
        <v>0</v>
      </c>
      <c r="K61" s="471"/>
      <c r="L61" s="697" t="str">
        <f t="shared" si="8"/>
        <v/>
      </c>
      <c r="M61" s="719"/>
      <c r="N61" s="720"/>
      <c r="O61" s="720"/>
      <c r="P61" s="720"/>
      <c r="Q61" s="720"/>
      <c r="R61" s="720"/>
      <c r="S61" s="720"/>
      <c r="T61" s="721"/>
      <c r="U61" s="71"/>
      <c r="V61" s="464"/>
      <c r="W61" s="609"/>
      <c r="X61" s="522"/>
      <c r="Y61" s="522"/>
      <c r="Z61" s="522"/>
      <c r="AA61" s="522"/>
      <c r="AB61" s="522"/>
    </row>
    <row r="62" spans="1:28" ht="45" x14ac:dyDescent="0.25">
      <c r="A62" s="646" t="s">
        <v>683</v>
      </c>
      <c r="B62" s="7">
        <f>IF(  AND(ISNUMBER(C62),OR(ISNUMBER(D62),D62="PG")),IF(IF(Capa!$B$6="B",0,Capa!$B$6)&gt;=C62,1,0),"")</f>
        <v>0</v>
      </c>
      <c r="C62" s="6">
        <f t="shared" si="0"/>
        <v>1</v>
      </c>
      <c r="D62" s="647">
        <v>449</v>
      </c>
      <c r="E62" s="352" t="s">
        <v>691</v>
      </c>
      <c r="F62" s="513"/>
      <c r="G62" s="468"/>
      <c r="H62" s="241"/>
      <c r="I62" s="29"/>
      <c r="J62" s="425">
        <f t="shared" si="7"/>
        <v>0</v>
      </c>
      <c r="K62" s="471"/>
      <c r="L62" s="697" t="str">
        <f t="shared" si="8"/>
        <v/>
      </c>
      <c r="M62" s="719"/>
      <c r="N62" s="720"/>
      <c r="O62" s="720"/>
      <c r="P62" s="720"/>
      <c r="Q62" s="720"/>
      <c r="R62" s="720"/>
      <c r="S62" s="720"/>
      <c r="T62" s="721"/>
      <c r="U62" s="71"/>
      <c r="V62" s="464"/>
      <c r="W62" s="609"/>
      <c r="X62" s="522"/>
      <c r="Y62" s="522"/>
      <c r="Z62" s="522"/>
      <c r="AA62" s="522"/>
      <c r="AB62" s="522"/>
    </row>
    <row r="63" spans="1:28" ht="7.35" customHeight="1" x14ac:dyDescent="0.25">
      <c r="A63" s="646" t="s">
        <v>683</v>
      </c>
      <c r="B63" s="7" t="str">
        <f>IF(  AND(ISNUMBER(C63),OR(ISNUMBER(D63),D63="PG")),IF(IF(Capa!$B$6="B",0,Capa!$B$6)&gt;=C63,1,0),"")</f>
        <v/>
      </c>
      <c r="C63" s="6">
        <f t="shared" si="0"/>
        <v>2</v>
      </c>
      <c r="D63" s="647" t="s">
        <v>64</v>
      </c>
      <c r="E63" s="352"/>
      <c r="F63" s="513"/>
      <c r="G63" s="468"/>
      <c r="H63" s="241"/>
      <c r="I63" s="29"/>
      <c r="J63" s="425">
        <f t="shared" si="7"/>
        <v>0</v>
      </c>
      <c r="K63" s="471"/>
      <c r="L63" s="697" t="str">
        <f t="shared" si="8"/>
        <v/>
      </c>
      <c r="M63" s="719"/>
      <c r="N63" s="720"/>
      <c r="O63" s="720"/>
      <c r="P63" s="720"/>
      <c r="Q63" s="720"/>
      <c r="R63" s="720"/>
      <c r="S63" s="720"/>
      <c r="T63" s="721"/>
      <c r="U63" s="71"/>
      <c r="V63" s="464"/>
      <c r="W63" s="609"/>
      <c r="X63" s="522"/>
      <c r="Y63" s="522"/>
      <c r="Z63" s="522"/>
      <c r="AA63" s="522"/>
      <c r="AB63" s="522"/>
    </row>
    <row r="64" spans="1:28" ht="45" x14ac:dyDescent="0.25">
      <c r="A64" s="646" t="s">
        <v>683</v>
      </c>
      <c r="B64" s="7">
        <f>IF(  AND(ISNUMBER(C64),OR(ISNUMBER(D64),D64="PG")),IF(IF(Capa!$B$6="B",0,Capa!$B$6)&gt;=C64,1,0),"")</f>
        <v>0</v>
      </c>
      <c r="C64" s="6">
        <f t="shared" si="0"/>
        <v>2</v>
      </c>
      <c r="D64" s="647">
        <v>450</v>
      </c>
      <c r="E64" s="352" t="s">
        <v>692</v>
      </c>
      <c r="F64" s="513"/>
      <c r="G64" s="468"/>
      <c r="H64" s="241"/>
      <c r="I64" s="29"/>
      <c r="J64" s="425">
        <f t="shared" si="7"/>
        <v>0</v>
      </c>
      <c r="K64" s="471"/>
      <c r="L64" s="697" t="str">
        <f t="shared" si="8"/>
        <v/>
      </c>
      <c r="M64" s="719"/>
      <c r="N64" s="720"/>
      <c r="O64" s="720"/>
      <c r="P64" s="720"/>
      <c r="Q64" s="720"/>
      <c r="R64" s="720"/>
      <c r="S64" s="720"/>
      <c r="T64" s="721"/>
      <c r="U64" s="71"/>
      <c r="V64" s="464"/>
      <c r="W64" s="609"/>
      <c r="X64" s="522"/>
      <c r="Y64" s="522"/>
      <c r="Z64" s="522"/>
      <c r="AA64" s="522"/>
      <c r="AB64" s="522"/>
    </row>
    <row r="65" spans="1:28" ht="45" x14ac:dyDescent="0.25">
      <c r="A65" s="646" t="s">
        <v>683</v>
      </c>
      <c r="B65" s="7">
        <f>IF(  AND(ISNUMBER(C65),OR(ISNUMBER(D65),D65="PG")),IF(IF(Capa!$B$6="B",0,Capa!$B$6)&gt;=C65,1,0),"")</f>
        <v>0</v>
      </c>
      <c r="C65" s="6">
        <f t="shared" si="0"/>
        <v>2</v>
      </c>
      <c r="D65" s="647">
        <v>451</v>
      </c>
      <c r="E65" s="352" t="s">
        <v>693</v>
      </c>
      <c r="F65" s="513"/>
      <c r="G65" s="468"/>
      <c r="H65" s="241"/>
      <c r="I65" s="29"/>
      <c r="J65" s="425">
        <f t="shared" si="7"/>
        <v>0</v>
      </c>
      <c r="K65" s="471"/>
      <c r="L65" s="697" t="str">
        <f t="shared" si="8"/>
        <v/>
      </c>
      <c r="M65" s="719"/>
      <c r="N65" s="720"/>
      <c r="O65" s="720"/>
      <c r="P65" s="720"/>
      <c r="Q65" s="720"/>
      <c r="R65" s="720"/>
      <c r="S65" s="720"/>
      <c r="T65" s="721"/>
      <c r="U65" s="71"/>
      <c r="V65" s="464"/>
      <c r="W65" s="609"/>
      <c r="X65" s="522"/>
      <c r="Y65" s="522"/>
      <c r="Z65" s="522"/>
      <c r="AA65" s="522"/>
      <c r="AB65" s="522"/>
    </row>
    <row r="66" spans="1:28" ht="45" x14ac:dyDescent="0.25">
      <c r="A66" s="646" t="s">
        <v>683</v>
      </c>
      <c r="B66" s="7">
        <f>IF(  AND(ISNUMBER(C66),OR(ISNUMBER(D66),D66="PG")),IF(IF(Capa!$B$6="B",0,Capa!$B$6)&gt;=C66,1,0),"")</f>
        <v>0</v>
      </c>
      <c r="C66" s="6">
        <f t="shared" si="0"/>
        <v>2</v>
      </c>
      <c r="D66" s="647">
        <v>452</v>
      </c>
      <c r="E66" s="352" t="s">
        <v>694</v>
      </c>
      <c r="F66" s="513"/>
      <c r="G66" s="468"/>
      <c r="H66" s="241"/>
      <c r="I66" s="29"/>
      <c r="J66" s="425">
        <f t="shared" si="7"/>
        <v>0</v>
      </c>
      <c r="K66" s="471"/>
      <c r="L66" s="697" t="str">
        <f t="shared" si="8"/>
        <v/>
      </c>
      <c r="M66" s="719"/>
      <c r="N66" s="720"/>
      <c r="O66" s="720"/>
      <c r="P66" s="720"/>
      <c r="Q66" s="720"/>
      <c r="R66" s="720"/>
      <c r="S66" s="720"/>
      <c r="T66" s="721"/>
      <c r="U66" s="71"/>
      <c r="V66" s="464"/>
      <c r="W66" s="609"/>
      <c r="X66" s="522"/>
      <c r="Y66" s="522"/>
      <c r="Z66" s="522"/>
      <c r="AA66" s="522"/>
      <c r="AB66" s="522"/>
    </row>
    <row r="67" spans="1:28" ht="60" x14ac:dyDescent="0.25">
      <c r="A67" s="646" t="s">
        <v>683</v>
      </c>
      <c r="B67" s="7">
        <f>IF(  AND(ISNUMBER(C67),OR(ISNUMBER(D67),D67="PG")),IF(IF(Capa!$B$6="B",0,Capa!$B$6)&gt;=C67,1,0),"")</f>
        <v>0</v>
      </c>
      <c r="C67" s="6">
        <f t="shared" si="0"/>
        <v>2</v>
      </c>
      <c r="D67" s="647">
        <v>453</v>
      </c>
      <c r="E67" s="352" t="s">
        <v>695</v>
      </c>
      <c r="F67" s="513"/>
      <c r="G67" s="468"/>
      <c r="H67" s="241"/>
      <c r="I67" s="29"/>
      <c r="J67" s="425">
        <f t="shared" si="7"/>
        <v>0</v>
      </c>
      <c r="K67" s="471"/>
      <c r="L67" s="697" t="str">
        <f t="shared" si="8"/>
        <v/>
      </c>
      <c r="M67" s="719"/>
      <c r="N67" s="720"/>
      <c r="O67" s="720"/>
      <c r="P67" s="720"/>
      <c r="Q67" s="720"/>
      <c r="R67" s="720"/>
      <c r="S67" s="720"/>
      <c r="T67" s="721"/>
      <c r="U67" s="71"/>
      <c r="V67" s="464"/>
      <c r="W67" s="609"/>
      <c r="X67" s="522"/>
      <c r="Y67" s="522"/>
      <c r="Z67" s="522"/>
      <c r="AA67" s="522"/>
      <c r="AB67" s="522"/>
    </row>
    <row r="68" spans="1:28" ht="7.7" customHeight="1" x14ac:dyDescent="0.25">
      <c r="A68" s="646" t="s">
        <v>683</v>
      </c>
      <c r="B68" s="7" t="str">
        <f>IF(  AND(ISNUMBER(C68),OR(ISNUMBER(D68),D68="PG")),IF(IF(Capa!$B$6="B",0,Capa!$B$6)&gt;=C68,1,0),"")</f>
        <v/>
      </c>
      <c r="C68" s="6">
        <f t="shared" si="0"/>
        <v>3</v>
      </c>
      <c r="D68" s="647" t="s">
        <v>70</v>
      </c>
      <c r="E68" s="352"/>
      <c r="F68" s="513"/>
      <c r="G68" s="468"/>
      <c r="H68" s="241"/>
      <c r="I68" s="29"/>
      <c r="J68" s="425">
        <f t="shared" si="7"/>
        <v>0</v>
      </c>
      <c r="K68" s="471"/>
      <c r="L68" s="697" t="str">
        <f t="shared" si="8"/>
        <v/>
      </c>
      <c r="M68" s="719"/>
      <c r="N68" s="720"/>
      <c r="O68" s="720"/>
      <c r="P68" s="720"/>
      <c r="Q68" s="720"/>
      <c r="R68" s="720"/>
      <c r="S68" s="720"/>
      <c r="T68" s="721"/>
      <c r="U68" s="71"/>
      <c r="V68" s="464"/>
      <c r="W68" s="609"/>
      <c r="X68" s="522"/>
      <c r="Y68" s="522"/>
      <c r="Z68" s="522"/>
      <c r="AA68" s="522"/>
      <c r="AB68" s="522"/>
    </row>
    <row r="69" spans="1:28" ht="76.349999999999994" customHeight="1" x14ac:dyDescent="0.25">
      <c r="A69" s="646" t="s">
        <v>683</v>
      </c>
      <c r="B69" s="7">
        <f>IF(  AND(ISNUMBER(C69),OR(ISNUMBER(D69),D69="PG")),IF(IF(Capa!$B$6="B",0,Capa!$B$6)&gt;=C69,1,0),"")</f>
        <v>0</v>
      </c>
      <c r="C69" s="6">
        <f t="shared" ref="C69:C132" si="9">IF(ISBLANK(D69),"",IF(ISERR(SEARCH(D69&amp;"\","&lt;B&gt;\&lt;1&gt;\&lt;2&gt;\&lt;3&gt;\")),IF(AND(NOT(ISBLANK(C68)),C68&lt;=3),C68,""),
IF(SEARCH(D69&amp;"\","&lt;B&gt;\&lt;1&gt;\&lt;2&gt;\&lt;3&gt;\")=1,0,IF(SEARCH(D69&amp;"\","&lt;B&gt;\&lt;1&gt;\&lt;2&gt;\&lt;3&gt;\")=5,1,IF(SEARCH(D69&amp;"\","&lt;B&gt;\&lt;1&gt;\&lt;2&gt;\&lt;3&gt;\")=9,2,IF(SEARCH(D69&amp;"\","&lt;B&gt;\&lt;1&gt;\&lt;2&gt;\&lt;3&gt;\")=13,3,""))))))</f>
        <v>3</v>
      </c>
      <c r="D69" s="647">
        <v>454</v>
      </c>
      <c r="E69" s="352" t="s">
        <v>696</v>
      </c>
      <c r="F69" s="513"/>
      <c r="G69" s="468"/>
      <c r="H69" s="241"/>
      <c r="I69" s="29"/>
      <c r="J69" s="425">
        <f t="shared" si="7"/>
        <v>0</v>
      </c>
      <c r="K69" s="471"/>
      <c r="L69" s="697" t="str">
        <f t="shared" si="8"/>
        <v/>
      </c>
      <c r="M69" s="719"/>
      <c r="N69" s="720"/>
      <c r="O69" s="720"/>
      <c r="P69" s="720"/>
      <c r="Q69" s="720"/>
      <c r="R69" s="720"/>
      <c r="S69" s="720"/>
      <c r="T69" s="721"/>
      <c r="U69" s="71"/>
      <c r="V69" s="464"/>
      <c r="W69" s="609"/>
      <c r="X69" s="522"/>
      <c r="Y69" s="522"/>
      <c r="Z69" s="522"/>
      <c r="AA69" s="522"/>
      <c r="AB69" s="522"/>
    </row>
    <row r="70" spans="1:28" ht="11.1" customHeight="1" x14ac:dyDescent="0.25">
      <c r="B70" s="7" t="str">
        <f>IF(  AND(ISNUMBER(C70),OR(ISNUMBER(D70),D70="PG")),IF(IF(Capa!$B$6="B",0,Capa!$B$6)&gt;=C70,1,0),"")</f>
        <v/>
      </c>
      <c r="C70" s="6" t="str">
        <f t="shared" si="9"/>
        <v/>
      </c>
      <c r="D70" s="122"/>
      <c r="E70" s="299"/>
      <c r="F70" s="123"/>
      <c r="G70" s="227"/>
      <c r="H70" s="227"/>
      <c r="I70" s="123"/>
      <c r="J70" s="227"/>
      <c r="K70" s="694"/>
      <c r="L70" s="219"/>
      <c r="M70" s="124"/>
      <c r="N70" s="124"/>
      <c r="O70" s="124"/>
      <c r="P70" s="124"/>
      <c r="Q70" s="124"/>
      <c r="R70" s="124"/>
      <c r="S70" s="251"/>
      <c r="T70" s="251"/>
      <c r="U70" s="260"/>
      <c r="V70" s="556"/>
      <c r="W70" s="138"/>
      <c r="X70" s="522"/>
      <c r="Y70" s="522"/>
      <c r="Z70" s="522"/>
      <c r="AA70" s="522"/>
      <c r="AB70" s="522"/>
    </row>
    <row r="71" spans="1:28" x14ac:dyDescent="0.25">
      <c r="A71" s="210" t="s">
        <v>697</v>
      </c>
      <c r="B71" s="7" t="str">
        <f>IF(  AND(ISNUMBER(C71),OR(ISNUMBER(D71),D71="PG")),IF(IF(Capa!$B$6="B",0,Capa!$B$6)&gt;=C71,1,0),"")</f>
        <v/>
      </c>
      <c r="C71" s="6" t="str">
        <f t="shared" si="9"/>
        <v/>
      </c>
      <c r="D71" s="15"/>
      <c r="E71" s="395" t="s">
        <v>698</v>
      </c>
      <c r="F71" s="517"/>
      <c r="G71" s="550"/>
      <c r="H71" s="219"/>
      <c r="I71" s="23"/>
      <c r="J71" s="219"/>
      <c r="K71" s="528"/>
      <c r="L71" s="383">
        <f>IF(AND($B73=1,D73="PG"),IF(COUNTIFS($A$1:$A$236,"="&amp;$A71,$B$1:$B$236,"&gt;0",$D$1:$D$236,"&gt;0")&gt;0,
        (COUNTIFS($A$1:$A$236,"="&amp;$A71,$B$1:$B$236,"&gt;0",$D$1:$D$236,"&gt;0",F$1:F$236,"=S",I$1:I$236,"") +
         (COUNTIFS($A$1:$A$236,"="&amp;$A71,$B$1:$B$236,"&gt;0",$D$1:$D$236,"&gt;0",$F$1:$F$236,"=P",I$1:I$236,"")/2) +
         COUNTIFS($A$1:$A$236,"="&amp;$A71,$B$1:$B$236,"&gt;0",$D$1:$D$236,"&gt;0",I$1:I$236,"=S") +
         (COUNTIFS($A$1:$A$236,"="&amp;$A71,$B$1:$B$236,"&gt;0",$D$1:$D$236,"&gt;0",I$1:I$236,"=P")/2)
         )/COUNTIFS($A$1:$A$236,"="&amp;$A71,$B$1:$B$236,"&gt;0",$D$1:$D$236,"&gt;0"),1),"")</f>
        <v>0</v>
      </c>
      <c r="M71" s="380"/>
      <c r="N71" s="70"/>
      <c r="O71" s="68"/>
      <c r="P71" s="68"/>
      <c r="Q71" s="83">
        <f>IF(L71="","",MIN(IF(ISBLANK(Q73),0,Q73),IF(L71&gt;0.9,4,IF(L71&gt;0.5,3,IF(L71&gt;0.3,2,IF(OR(L71&gt;0,Q73&gt;0),1,0))))))</f>
        <v>0</v>
      </c>
      <c r="R71" s="83"/>
      <c r="S71" s="303"/>
      <c r="T71" s="292"/>
      <c r="U71" s="292"/>
      <c r="V71" s="545"/>
      <c r="W71" s="604"/>
      <c r="X71" s="579"/>
      <c r="Y71" s="579"/>
      <c r="Z71" s="579"/>
      <c r="AA71" s="579"/>
      <c r="AB71" s="579"/>
    </row>
    <row r="72" spans="1:28" ht="4.7" customHeight="1" x14ac:dyDescent="0.25">
      <c r="A72" s="210" t="s">
        <v>697</v>
      </c>
      <c r="B72" s="7" t="str">
        <f>IF(  AND(ISNUMBER(C72),OR(ISNUMBER(D72),D72="PG")),IF(IF(Capa!$B$6="B",0,Capa!$B$6)&gt;=C72,1,0),"")</f>
        <v/>
      </c>
      <c r="C72" s="6">
        <f t="shared" si="9"/>
        <v>0</v>
      </c>
      <c r="D72" s="5" t="s">
        <v>53</v>
      </c>
      <c r="E72" s="391"/>
      <c r="F72" s="554"/>
      <c r="G72" s="561"/>
      <c r="H72" s="239"/>
      <c r="I72" s="26"/>
      <c r="J72" s="239"/>
      <c r="K72" s="563"/>
      <c r="L72" s="213"/>
      <c r="M72" s="82"/>
      <c r="N72" s="59"/>
      <c r="O72" s="59"/>
      <c r="P72" s="59"/>
      <c r="Q72" s="59"/>
      <c r="R72" s="59"/>
      <c r="S72" s="262"/>
      <c r="T72" s="262"/>
      <c r="U72" s="355"/>
      <c r="V72" s="465"/>
      <c r="W72" s="608"/>
      <c r="X72" s="522"/>
      <c r="Y72" s="522"/>
      <c r="Z72" s="522"/>
      <c r="AA72" s="522"/>
      <c r="AB72" s="522"/>
    </row>
    <row r="73" spans="1:28" ht="63.75" x14ac:dyDescent="0.25">
      <c r="A73" s="646" t="s">
        <v>697</v>
      </c>
      <c r="B73" s="7">
        <f>IF(  AND(ISNUMBER(C73),OR(ISNUMBER(D73),D73="PG")),IF(IF(Capa!$B$6="B",0,Capa!$B$6)&gt;=C73,1,0),"")</f>
        <v>1</v>
      </c>
      <c r="C73" s="6">
        <f t="shared" si="9"/>
        <v>0</v>
      </c>
      <c r="D73" s="647" t="s">
        <v>54</v>
      </c>
      <c r="E73" s="389" t="s">
        <v>699</v>
      </c>
      <c r="F73" s="513"/>
      <c r="G73" s="468"/>
      <c r="H73" s="241"/>
      <c r="I73" s="29"/>
      <c r="J73" s="239"/>
      <c r="K73" s="471"/>
      <c r="L73" s="697" t="str">
        <f>IF(OR(AND(NOT(ISBLANK(M73)),M73&lt;IF(Capa!$B$6&lt;&gt;"B",Capa!$B$6+1,1)),AND(NOT(ISBLANK(N73)),N73&lt;IF(Capa!$B$6&lt;&gt;"B",Capa!$B$6+1,1)),AND(NOT(ISBLANK(O73)),O73&lt;IF(Capa!$B$6&lt;&gt;"B",Capa!$B$6+1,1)),AND(NOT(ISBLANK(Q73)),Q73&lt;IF(Capa!$B$6&lt;&gt;"B",Capa!$B$6+1,1)),AND(NOT(ISBLANK(R73)),R73&lt;IF(Capa!$B$6&lt;&gt;"B",Capa!$B$6+1,1)),AND(NOT(ISBLANK(S73)),S73&lt;IF(Capa!$B$6&lt;&gt;"B",Capa!$B$6+1,1))),1,"")</f>
        <v/>
      </c>
      <c r="M73" s="81"/>
      <c r="N73" s="81"/>
      <c r="O73" s="81"/>
      <c r="P73" s="81"/>
      <c r="Q73" s="81"/>
      <c r="R73" s="81"/>
      <c r="S73" s="81"/>
      <c r="T73" s="81"/>
      <c r="U73" s="58"/>
      <c r="V73" s="464"/>
      <c r="W73" s="609"/>
      <c r="X73" s="666"/>
      <c r="Y73" s="522"/>
      <c r="Z73" s="522"/>
      <c r="AA73" s="522"/>
      <c r="AB73" s="522"/>
    </row>
    <row r="74" spans="1:28" ht="45" x14ac:dyDescent="0.25">
      <c r="A74" s="646" t="s">
        <v>697</v>
      </c>
      <c r="B74" s="7">
        <f>IF(  AND(ISNUMBER(C74),OR(ISNUMBER(D74),D74="PG")),IF(IF(Capa!$B$6="B",0,Capa!$B$6)&gt;=C74,1,0),"")</f>
        <v>1</v>
      </c>
      <c r="C74" s="6">
        <f t="shared" si="9"/>
        <v>0</v>
      </c>
      <c r="D74" s="647">
        <v>455</v>
      </c>
      <c r="E74" s="352" t="s">
        <v>700</v>
      </c>
      <c r="F74" s="513"/>
      <c r="G74" s="468"/>
      <c r="H74" s="241"/>
      <c r="I74" s="29"/>
      <c r="J74" s="425">
        <f t="shared" ref="J74:J89" si="10">LEN(K74)</f>
        <v>0</v>
      </c>
      <c r="K74" s="471"/>
      <c r="L74" s="697" t="str">
        <f t="shared" ref="L74:L89" si="11">IF(OR(I74="N",I74="P"),1,"")</f>
        <v/>
      </c>
      <c r="M74" s="719"/>
      <c r="N74" s="720"/>
      <c r="O74" s="720"/>
      <c r="P74" s="720"/>
      <c r="Q74" s="720"/>
      <c r="R74" s="720"/>
      <c r="S74" s="720"/>
      <c r="T74" s="721"/>
      <c r="U74" s="71"/>
      <c r="V74" s="464"/>
      <c r="W74" s="609"/>
      <c r="X74" s="522"/>
      <c r="Y74" s="522"/>
      <c r="Z74" s="522"/>
      <c r="AA74" s="522"/>
      <c r="AB74" s="522"/>
    </row>
    <row r="75" spans="1:28" ht="30" x14ac:dyDescent="0.25">
      <c r="A75" s="646" t="s">
        <v>697</v>
      </c>
      <c r="B75" s="7">
        <f>IF(  AND(ISNUMBER(C75),OR(ISNUMBER(D75),D75="PG")),IF(IF(Capa!$B$6="B",0,Capa!$B$6)&gt;=C75,1,0),"")</f>
        <v>1</v>
      </c>
      <c r="C75" s="6">
        <f t="shared" si="9"/>
        <v>0</v>
      </c>
      <c r="D75" s="647">
        <v>456</v>
      </c>
      <c r="E75" s="352" t="s">
        <v>701</v>
      </c>
      <c r="F75" s="513"/>
      <c r="G75" s="468"/>
      <c r="H75" s="241"/>
      <c r="I75" s="29"/>
      <c r="J75" s="425">
        <f t="shared" si="10"/>
        <v>0</v>
      </c>
      <c r="K75" s="471"/>
      <c r="L75" s="697" t="str">
        <f t="shared" si="11"/>
        <v/>
      </c>
      <c r="M75" s="719"/>
      <c r="N75" s="720"/>
      <c r="O75" s="720"/>
      <c r="P75" s="720"/>
      <c r="Q75" s="720"/>
      <c r="R75" s="720"/>
      <c r="S75" s="720"/>
      <c r="T75" s="721"/>
      <c r="U75" s="71"/>
      <c r="V75" s="464"/>
      <c r="W75" s="609"/>
      <c r="X75" s="522"/>
      <c r="Y75" s="522"/>
      <c r="Z75" s="522"/>
      <c r="AA75" s="522"/>
      <c r="AB75" s="522"/>
    </row>
    <row r="76" spans="1:28" ht="7.35" customHeight="1" x14ac:dyDescent="0.25">
      <c r="A76" s="646" t="s">
        <v>697</v>
      </c>
      <c r="B76" s="7" t="str">
        <f>IF(  AND(ISNUMBER(C76),OR(ISNUMBER(D76),D76="PG")),IF(IF(Capa!$B$6="B",0,Capa!$B$6)&gt;=C76,1,0),"")</f>
        <v/>
      </c>
      <c r="C76" s="6">
        <f t="shared" si="9"/>
        <v>1</v>
      </c>
      <c r="D76" s="647" t="s">
        <v>62</v>
      </c>
      <c r="E76" s="352"/>
      <c r="F76" s="513"/>
      <c r="G76" s="468"/>
      <c r="H76" s="241"/>
      <c r="I76" s="29"/>
      <c r="J76" s="425">
        <f t="shared" si="10"/>
        <v>0</v>
      </c>
      <c r="K76" s="471"/>
      <c r="L76" s="697" t="str">
        <f t="shared" si="11"/>
        <v/>
      </c>
      <c r="M76" s="719"/>
      <c r="N76" s="720"/>
      <c r="O76" s="720"/>
      <c r="P76" s="720"/>
      <c r="Q76" s="720"/>
      <c r="R76" s="720"/>
      <c r="S76" s="720"/>
      <c r="T76" s="721"/>
      <c r="U76" s="71"/>
      <c r="V76" s="464"/>
      <c r="W76" s="609"/>
      <c r="X76" s="522"/>
      <c r="Y76" s="522"/>
      <c r="Z76" s="522"/>
      <c r="AA76" s="522"/>
      <c r="AB76" s="522"/>
    </row>
    <row r="77" spans="1:28" ht="60" x14ac:dyDescent="0.25">
      <c r="A77" s="646" t="s">
        <v>697</v>
      </c>
      <c r="B77" s="7">
        <f>IF(  AND(ISNUMBER(C77),OR(ISNUMBER(D77),D77="PG")),IF(IF(Capa!$B$6="B",0,Capa!$B$6)&gt;=C77,1,0),"")</f>
        <v>0</v>
      </c>
      <c r="C77" s="6">
        <f t="shared" si="9"/>
        <v>1</v>
      </c>
      <c r="D77" s="647">
        <v>457</v>
      </c>
      <c r="E77" s="352" t="s">
        <v>702</v>
      </c>
      <c r="F77" s="513"/>
      <c r="G77" s="468"/>
      <c r="H77" s="241"/>
      <c r="I77" s="29"/>
      <c r="J77" s="425">
        <f t="shared" si="10"/>
        <v>0</v>
      </c>
      <c r="K77" s="471"/>
      <c r="L77" s="697" t="str">
        <f t="shared" si="11"/>
        <v/>
      </c>
      <c r="M77" s="719"/>
      <c r="N77" s="720"/>
      <c r="O77" s="720"/>
      <c r="P77" s="720"/>
      <c r="Q77" s="720"/>
      <c r="R77" s="720"/>
      <c r="S77" s="720"/>
      <c r="T77" s="721"/>
      <c r="U77" s="71"/>
      <c r="V77" s="464"/>
      <c r="W77" s="609"/>
      <c r="X77" s="522"/>
      <c r="Y77" s="522"/>
      <c r="Z77" s="522"/>
      <c r="AA77" s="522"/>
      <c r="AB77" s="522"/>
    </row>
    <row r="78" spans="1:28" ht="30" x14ac:dyDescent="0.25">
      <c r="A78" s="646" t="s">
        <v>697</v>
      </c>
      <c r="B78" s="7">
        <f>IF(  AND(ISNUMBER(C78),OR(ISNUMBER(D78),D78="PG")),IF(IF(Capa!$B$6="B",0,Capa!$B$6)&gt;=C78,1,0),"")</f>
        <v>0</v>
      </c>
      <c r="C78" s="6">
        <f t="shared" si="9"/>
        <v>1</v>
      </c>
      <c r="D78" s="647">
        <v>458</v>
      </c>
      <c r="E78" s="352" t="s">
        <v>703</v>
      </c>
      <c r="F78" s="513"/>
      <c r="G78" s="468"/>
      <c r="H78" s="241"/>
      <c r="I78" s="29"/>
      <c r="J78" s="425">
        <f t="shared" si="10"/>
        <v>0</v>
      </c>
      <c r="K78" s="471"/>
      <c r="L78" s="697" t="str">
        <f t="shared" si="11"/>
        <v/>
      </c>
      <c r="M78" s="719"/>
      <c r="N78" s="720"/>
      <c r="O78" s="720"/>
      <c r="P78" s="720"/>
      <c r="Q78" s="720"/>
      <c r="R78" s="720"/>
      <c r="S78" s="720"/>
      <c r="T78" s="721"/>
      <c r="U78" s="71"/>
      <c r="V78" s="464"/>
      <c r="W78" s="609"/>
      <c r="X78" s="522"/>
      <c r="Y78" s="522"/>
      <c r="Z78" s="522"/>
      <c r="AA78" s="522"/>
      <c r="AB78" s="522"/>
    </row>
    <row r="79" spans="1:28" ht="45" x14ac:dyDescent="0.25">
      <c r="A79" s="646" t="s">
        <v>697</v>
      </c>
      <c r="B79" s="7">
        <f>IF(  AND(ISNUMBER(C79),OR(ISNUMBER(D79),D79="PG")),IF(IF(Capa!$B$6="B",0,Capa!$B$6)&gt;=C79,1,0),"")</f>
        <v>0</v>
      </c>
      <c r="C79" s="6">
        <f t="shared" si="9"/>
        <v>1</v>
      </c>
      <c r="D79" s="647">
        <v>459</v>
      </c>
      <c r="E79" s="352" t="s">
        <v>704</v>
      </c>
      <c r="F79" s="513"/>
      <c r="G79" s="468"/>
      <c r="H79" s="241"/>
      <c r="I79" s="29"/>
      <c r="J79" s="425">
        <f t="shared" si="10"/>
        <v>0</v>
      </c>
      <c r="K79" s="471"/>
      <c r="L79" s="697" t="str">
        <f t="shared" si="11"/>
        <v/>
      </c>
      <c r="M79" s="719"/>
      <c r="N79" s="720"/>
      <c r="O79" s="720"/>
      <c r="P79" s="720"/>
      <c r="Q79" s="720"/>
      <c r="R79" s="720"/>
      <c r="S79" s="720"/>
      <c r="T79" s="721"/>
      <c r="U79" s="71"/>
      <c r="V79" s="464"/>
      <c r="W79" s="609"/>
      <c r="X79" s="522"/>
      <c r="Y79" s="522"/>
      <c r="Z79" s="522"/>
      <c r="AA79" s="522"/>
      <c r="AB79" s="522"/>
    </row>
    <row r="80" spans="1:28" ht="7.35" customHeight="1" x14ac:dyDescent="0.25">
      <c r="A80" s="646" t="s">
        <v>697</v>
      </c>
      <c r="B80" s="7" t="str">
        <f>IF(  AND(ISNUMBER(C80),OR(ISNUMBER(D80),D80="PG")),IF(IF(Capa!$B$6="B",0,Capa!$B$6)&gt;=C80,1,0),"")</f>
        <v/>
      </c>
      <c r="C80" s="6">
        <f t="shared" si="9"/>
        <v>2</v>
      </c>
      <c r="D80" s="647" t="s">
        <v>64</v>
      </c>
      <c r="E80" s="352"/>
      <c r="F80" s="513"/>
      <c r="G80" s="468"/>
      <c r="H80" s="241"/>
      <c r="I80" s="29"/>
      <c r="J80" s="425">
        <f t="shared" si="10"/>
        <v>0</v>
      </c>
      <c r="K80" s="471"/>
      <c r="L80" s="697" t="str">
        <f t="shared" si="11"/>
        <v/>
      </c>
      <c r="M80" s="719"/>
      <c r="N80" s="720"/>
      <c r="O80" s="720"/>
      <c r="P80" s="720"/>
      <c r="Q80" s="720"/>
      <c r="R80" s="720"/>
      <c r="S80" s="720"/>
      <c r="T80" s="721"/>
      <c r="U80" s="71"/>
      <c r="V80" s="464"/>
      <c r="W80" s="609"/>
      <c r="X80" s="522"/>
      <c r="Y80" s="522"/>
      <c r="Z80" s="522"/>
      <c r="AA80" s="522"/>
      <c r="AB80" s="522"/>
    </row>
    <row r="81" spans="1:28" ht="45" x14ac:dyDescent="0.25">
      <c r="A81" s="646" t="s">
        <v>697</v>
      </c>
      <c r="B81" s="7">
        <f>IF(  AND(ISNUMBER(C81),OR(ISNUMBER(D81),D81="PG")),IF(IF(Capa!$B$6="B",0,Capa!$B$6)&gt;=C81,1,0),"")</f>
        <v>0</v>
      </c>
      <c r="C81" s="6">
        <f t="shared" si="9"/>
        <v>2</v>
      </c>
      <c r="D81" s="647">
        <v>460</v>
      </c>
      <c r="E81" s="352" t="s">
        <v>705</v>
      </c>
      <c r="F81" s="513"/>
      <c r="G81" s="468"/>
      <c r="H81" s="241"/>
      <c r="I81" s="29"/>
      <c r="J81" s="425">
        <f t="shared" si="10"/>
        <v>0</v>
      </c>
      <c r="K81" s="471"/>
      <c r="L81" s="697" t="str">
        <f t="shared" si="11"/>
        <v/>
      </c>
      <c r="M81" s="719"/>
      <c r="N81" s="720"/>
      <c r="O81" s="720"/>
      <c r="P81" s="720"/>
      <c r="Q81" s="720"/>
      <c r="R81" s="720"/>
      <c r="S81" s="720"/>
      <c r="T81" s="721"/>
      <c r="U81" s="71"/>
      <c r="V81" s="464"/>
      <c r="W81" s="609"/>
      <c r="X81" s="522"/>
      <c r="Y81" s="522"/>
      <c r="Z81" s="522"/>
      <c r="AA81" s="522"/>
      <c r="AB81" s="522"/>
    </row>
    <row r="82" spans="1:28" ht="75" x14ac:dyDescent="0.25">
      <c r="A82" s="646" t="s">
        <v>697</v>
      </c>
      <c r="B82" s="7">
        <f>IF(  AND(ISNUMBER(C82),OR(ISNUMBER(D82),D82="PG")),IF(IF(Capa!$B$6="B",0,Capa!$B$6)&gt;=C82,1,0),"")</f>
        <v>0</v>
      </c>
      <c r="C82" s="6">
        <f t="shared" si="9"/>
        <v>2</v>
      </c>
      <c r="D82" s="647">
        <v>461</v>
      </c>
      <c r="E82" s="352" t="s">
        <v>706</v>
      </c>
      <c r="F82" s="513"/>
      <c r="G82" s="468"/>
      <c r="H82" s="241"/>
      <c r="I82" s="29"/>
      <c r="J82" s="425">
        <f t="shared" si="10"/>
        <v>0</v>
      </c>
      <c r="K82" s="471"/>
      <c r="L82" s="697" t="str">
        <f t="shared" si="11"/>
        <v/>
      </c>
      <c r="M82" s="719"/>
      <c r="N82" s="720"/>
      <c r="O82" s="720"/>
      <c r="P82" s="720"/>
      <c r="Q82" s="720"/>
      <c r="R82" s="720"/>
      <c r="S82" s="720"/>
      <c r="T82" s="721"/>
      <c r="U82" s="71"/>
      <c r="V82" s="464"/>
      <c r="W82" s="609"/>
      <c r="X82" s="669"/>
      <c r="Y82" s="522"/>
      <c r="Z82" s="522"/>
      <c r="AA82" s="522"/>
      <c r="AB82" s="522"/>
    </row>
    <row r="83" spans="1:28" ht="45" x14ac:dyDescent="0.25">
      <c r="A83" s="646" t="s">
        <v>697</v>
      </c>
      <c r="B83" s="7">
        <f>IF(  AND(ISNUMBER(C83),OR(ISNUMBER(D83),D83="PG")),IF(IF(Capa!$B$6="B",0,Capa!$B$6)&gt;=C83,1,0),"")</f>
        <v>0</v>
      </c>
      <c r="C83" s="6">
        <f t="shared" si="9"/>
        <v>2</v>
      </c>
      <c r="D83" s="647">
        <v>462</v>
      </c>
      <c r="E83" s="352" t="s">
        <v>707</v>
      </c>
      <c r="F83" s="513"/>
      <c r="G83" s="468"/>
      <c r="H83" s="241"/>
      <c r="I83" s="29"/>
      <c r="J83" s="425">
        <f t="shared" si="10"/>
        <v>0</v>
      </c>
      <c r="K83" s="471"/>
      <c r="L83" s="697" t="str">
        <f t="shared" si="11"/>
        <v/>
      </c>
      <c r="M83" s="719"/>
      <c r="N83" s="720"/>
      <c r="O83" s="720"/>
      <c r="P83" s="720"/>
      <c r="Q83" s="720"/>
      <c r="R83" s="720"/>
      <c r="S83" s="720"/>
      <c r="T83" s="721"/>
      <c r="U83" s="71"/>
      <c r="V83" s="464"/>
      <c r="W83" s="609"/>
      <c r="X83" s="522"/>
      <c r="Y83" s="522"/>
      <c r="Z83" s="522"/>
      <c r="AA83" s="522"/>
      <c r="AB83" s="522"/>
    </row>
    <row r="84" spans="1:28" ht="45" x14ac:dyDescent="0.25">
      <c r="A84" s="646" t="s">
        <v>697</v>
      </c>
      <c r="B84" s="7">
        <f>IF(  AND(ISNUMBER(C84),OR(ISNUMBER(D84),D84="PG")),IF(IF(Capa!$B$6="B",0,Capa!$B$6)&gt;=C84,1,0),"")</f>
        <v>0</v>
      </c>
      <c r="C84" s="6">
        <f t="shared" si="9"/>
        <v>2</v>
      </c>
      <c r="D84" s="647">
        <v>463</v>
      </c>
      <c r="E84" s="352" t="s">
        <v>708</v>
      </c>
      <c r="F84" s="513"/>
      <c r="G84" s="468"/>
      <c r="H84" s="241"/>
      <c r="I84" s="29"/>
      <c r="J84" s="425">
        <f t="shared" si="10"/>
        <v>0</v>
      </c>
      <c r="K84" s="471"/>
      <c r="L84" s="697" t="str">
        <f t="shared" si="11"/>
        <v/>
      </c>
      <c r="M84" s="719"/>
      <c r="N84" s="720"/>
      <c r="O84" s="720"/>
      <c r="P84" s="720"/>
      <c r="Q84" s="720"/>
      <c r="R84" s="720"/>
      <c r="S84" s="720"/>
      <c r="T84" s="721"/>
      <c r="U84" s="71"/>
      <c r="V84" s="464"/>
      <c r="W84" s="609"/>
      <c r="X84" s="522"/>
      <c r="Y84" s="522"/>
      <c r="Z84" s="522"/>
      <c r="AA84" s="522"/>
      <c r="AB84" s="522"/>
    </row>
    <row r="85" spans="1:28" ht="45" x14ac:dyDescent="0.25">
      <c r="A85" s="646" t="s">
        <v>697</v>
      </c>
      <c r="B85" s="7">
        <f>IF(  AND(ISNUMBER(C85),OR(ISNUMBER(D85),D85="PG")),IF(IF(Capa!$B$6="B",0,Capa!$B$6)&gt;=C85,1,0),"")</f>
        <v>0</v>
      </c>
      <c r="C85" s="6">
        <f t="shared" si="9"/>
        <v>2</v>
      </c>
      <c r="D85" s="647">
        <v>464</v>
      </c>
      <c r="E85" s="352" t="s">
        <v>709</v>
      </c>
      <c r="F85" s="513"/>
      <c r="G85" s="468"/>
      <c r="H85" s="241"/>
      <c r="I85" s="29"/>
      <c r="J85" s="425">
        <f t="shared" si="10"/>
        <v>0</v>
      </c>
      <c r="K85" s="471"/>
      <c r="L85" s="697" t="str">
        <f t="shared" si="11"/>
        <v/>
      </c>
      <c r="M85" s="719"/>
      <c r="N85" s="720"/>
      <c r="O85" s="720"/>
      <c r="P85" s="720"/>
      <c r="Q85" s="720"/>
      <c r="R85" s="720"/>
      <c r="S85" s="720"/>
      <c r="T85" s="721"/>
      <c r="U85" s="71"/>
      <c r="V85" s="464"/>
      <c r="W85" s="609"/>
      <c r="X85" s="522"/>
      <c r="Y85" s="522"/>
      <c r="Z85" s="522"/>
      <c r="AA85" s="522"/>
      <c r="AB85" s="522"/>
    </row>
    <row r="86" spans="1:28" ht="7.7" customHeight="1" x14ac:dyDescent="0.25">
      <c r="A86" s="646" t="s">
        <v>697</v>
      </c>
      <c r="B86" s="7" t="str">
        <f>IF(  AND(ISNUMBER(C86),OR(ISNUMBER(D86),D86="PG")),IF(IF(Capa!$B$6="B",0,Capa!$B$6)&gt;=C86,1,0),"")</f>
        <v/>
      </c>
      <c r="C86" s="6">
        <f t="shared" si="9"/>
        <v>3</v>
      </c>
      <c r="D86" s="647" t="s">
        <v>70</v>
      </c>
      <c r="E86" s="352"/>
      <c r="F86" s="513"/>
      <c r="G86" s="468"/>
      <c r="H86" s="241"/>
      <c r="I86" s="29"/>
      <c r="J86" s="425">
        <f t="shared" si="10"/>
        <v>0</v>
      </c>
      <c r="K86" s="471"/>
      <c r="L86" s="697" t="str">
        <f t="shared" si="11"/>
        <v/>
      </c>
      <c r="M86" s="719"/>
      <c r="N86" s="720"/>
      <c r="O86" s="720"/>
      <c r="P86" s="720"/>
      <c r="Q86" s="720"/>
      <c r="R86" s="720"/>
      <c r="S86" s="720"/>
      <c r="T86" s="721"/>
      <c r="U86" s="71"/>
      <c r="V86" s="464"/>
      <c r="W86" s="609"/>
      <c r="X86" s="522"/>
      <c r="Y86" s="522"/>
      <c r="Z86" s="522"/>
      <c r="AA86" s="522"/>
      <c r="AB86" s="522"/>
    </row>
    <row r="87" spans="1:28" ht="90" x14ac:dyDescent="0.25">
      <c r="A87" s="646" t="s">
        <v>697</v>
      </c>
      <c r="B87" s="7">
        <f>IF(  AND(ISNUMBER(C87),OR(ISNUMBER(D87),D87="PG")),IF(IF(Capa!$B$6="B",0,Capa!$B$6)&gt;=C87,1,0),"")</f>
        <v>0</v>
      </c>
      <c r="C87" s="6">
        <f t="shared" si="9"/>
        <v>3</v>
      </c>
      <c r="D87" s="647">
        <v>465</v>
      </c>
      <c r="E87" s="352" t="s">
        <v>710</v>
      </c>
      <c r="F87" s="513"/>
      <c r="G87" s="468"/>
      <c r="H87" s="241"/>
      <c r="I87" s="29"/>
      <c r="J87" s="425">
        <f t="shared" si="10"/>
        <v>0</v>
      </c>
      <c r="K87" s="471"/>
      <c r="L87" s="697" t="str">
        <f t="shared" si="11"/>
        <v/>
      </c>
      <c r="M87" s="719"/>
      <c r="N87" s="720"/>
      <c r="O87" s="720"/>
      <c r="P87" s="720"/>
      <c r="Q87" s="720"/>
      <c r="R87" s="720"/>
      <c r="S87" s="720"/>
      <c r="T87" s="721"/>
      <c r="U87" s="71"/>
      <c r="V87" s="464"/>
      <c r="W87" s="609"/>
      <c r="X87" s="522"/>
      <c r="Y87" s="522"/>
      <c r="Z87" s="522"/>
      <c r="AA87" s="522"/>
      <c r="AB87" s="522"/>
    </row>
    <row r="88" spans="1:28" ht="45" x14ac:dyDescent="0.25">
      <c r="A88" s="646" t="s">
        <v>697</v>
      </c>
      <c r="B88" s="7">
        <f>IF(  AND(ISNUMBER(C88),OR(ISNUMBER(D88),D88="PG")),IF(IF(Capa!$B$6="B",0,Capa!$B$6)&gt;=C88,1,0),"")</f>
        <v>0</v>
      </c>
      <c r="C88" s="6">
        <f t="shared" si="9"/>
        <v>3</v>
      </c>
      <c r="D88" s="649">
        <v>466</v>
      </c>
      <c r="E88" s="390" t="s">
        <v>711</v>
      </c>
      <c r="F88" s="513"/>
      <c r="G88" s="468"/>
      <c r="H88" s="241"/>
      <c r="I88" s="29"/>
      <c r="J88" s="425">
        <f t="shared" si="10"/>
        <v>0</v>
      </c>
      <c r="K88" s="471"/>
      <c r="L88" s="697" t="str">
        <f t="shared" si="11"/>
        <v/>
      </c>
      <c r="M88" s="719"/>
      <c r="N88" s="720"/>
      <c r="O88" s="720"/>
      <c r="P88" s="720"/>
      <c r="Q88" s="720"/>
      <c r="R88" s="720"/>
      <c r="S88" s="720"/>
      <c r="T88" s="721"/>
      <c r="U88" s="71"/>
      <c r="V88" s="464"/>
      <c r="W88" s="610"/>
      <c r="X88" s="522"/>
      <c r="Y88" s="522"/>
      <c r="Z88" s="522"/>
      <c r="AA88" s="522"/>
      <c r="AB88" s="522"/>
    </row>
    <row r="89" spans="1:28" ht="30" x14ac:dyDescent="0.25">
      <c r="A89" s="646" t="s">
        <v>697</v>
      </c>
      <c r="B89" s="7">
        <f>IF(  AND(ISNUMBER(C89),OR(ISNUMBER(D89),D89="PG")),IF(IF(Capa!$B$6="B",0,Capa!$B$6)&gt;=C89,1,0),"")</f>
        <v>0</v>
      </c>
      <c r="C89" s="6">
        <f t="shared" si="9"/>
        <v>3</v>
      </c>
      <c r="D89" s="649">
        <v>467</v>
      </c>
      <c r="E89" s="390" t="s">
        <v>712</v>
      </c>
      <c r="F89" s="513"/>
      <c r="G89" s="468"/>
      <c r="H89" s="241"/>
      <c r="I89" s="29"/>
      <c r="J89" s="425">
        <f t="shared" si="10"/>
        <v>0</v>
      </c>
      <c r="K89" s="471"/>
      <c r="L89" s="697" t="str">
        <f t="shared" si="11"/>
        <v/>
      </c>
      <c r="M89" s="719"/>
      <c r="N89" s="720"/>
      <c r="O89" s="720"/>
      <c r="P89" s="720"/>
      <c r="Q89" s="720"/>
      <c r="R89" s="720"/>
      <c r="S89" s="720"/>
      <c r="T89" s="721"/>
      <c r="U89" s="71"/>
      <c r="V89" s="464"/>
      <c r="W89" s="610"/>
      <c r="X89" s="522"/>
      <c r="Y89" s="522"/>
      <c r="Z89" s="522"/>
      <c r="AA89" s="522"/>
      <c r="AB89" s="522"/>
    </row>
    <row r="90" spans="1:28" ht="11.1" customHeight="1" x14ac:dyDescent="0.25">
      <c r="B90" s="7" t="str">
        <f>IF(  AND(ISNUMBER(C90),OR(ISNUMBER(D90),D90="PG")),IF(IF(Capa!$B$6="B",0,Capa!$B$6)&gt;=C90,1,0),"")</f>
        <v/>
      </c>
      <c r="C90" s="6" t="str">
        <f t="shared" si="9"/>
        <v/>
      </c>
      <c r="D90" s="122"/>
      <c r="E90" s="299"/>
      <c r="F90" s="123"/>
      <c r="G90" s="227"/>
      <c r="H90" s="227"/>
      <c r="I90" s="123"/>
      <c r="J90" s="227"/>
      <c r="K90" s="694"/>
      <c r="L90" s="219"/>
      <c r="M90" s="124"/>
      <c r="N90" s="124"/>
      <c r="O90" s="124"/>
      <c r="P90" s="124"/>
      <c r="Q90" s="124"/>
      <c r="R90" s="124"/>
      <c r="S90" s="251"/>
      <c r="T90" s="251"/>
      <c r="U90" s="260"/>
      <c r="V90" s="556"/>
      <c r="W90" s="138"/>
      <c r="X90" s="522"/>
      <c r="Y90" s="522"/>
      <c r="Z90" s="522"/>
      <c r="AA90" s="522"/>
      <c r="AB90" s="522"/>
    </row>
    <row r="91" spans="1:28" x14ac:dyDescent="0.25">
      <c r="A91" s="210" t="s">
        <v>713</v>
      </c>
      <c r="B91" s="7" t="str">
        <f>IF(  AND(ISNUMBER(C91),OR(ISNUMBER(D91),D91="PG")),IF(IF(Capa!$B$6="B",0,Capa!$B$6)&gt;=C91,1,0),"")</f>
        <v/>
      </c>
      <c r="C91" s="6" t="str">
        <f t="shared" si="9"/>
        <v/>
      </c>
      <c r="D91" s="137"/>
      <c r="E91" s="408" t="s">
        <v>714</v>
      </c>
      <c r="F91" s="381">
        <f>IF(COUNTIFS($A$1:$A$236,"="&amp;A91&amp;"?",$B$1:$B$236,"&gt;0",$D$1:$D$236,"&gt;0")&gt;0,(COUNTIFS($A$1:$A$236,"="&amp;A91&amp;"?",$B$1:$B$236,"&gt;0",$D$1:$D$236,"&gt;0",F$1:F$236,"=S")+COUNTIFS($A$1:$A$236,"="&amp;A91&amp;"?",$B$1:$B$236,"&gt;0",$D$1:$D$236,"&gt;0",$F$1:$F$236,"=P")+COUNTIFS($A$1:$A$236,"="&amp;A91&amp;"?",$B$1:$B$236,"&gt;0",$D$1:$D$236,"&gt;0",F$1:F$236,"=N")+COUNTIFS($A$1:$A$236,"="&amp;A91&amp;"?",$B$1:$B$236,"&gt;0",$D$1:$D$236,"&gt;0",F$1:F$236,"=NA"))/COUNTIFS($A$1:$A$236,"="&amp;A91&amp;"?",$B$1:$B$236,"&gt;0",$D$1:$D$236,"&gt;0"),0)</f>
        <v>0</v>
      </c>
      <c r="G91" s="552"/>
      <c r="H91" s="232"/>
      <c r="I91" s="381">
        <f>IF(COUNTIFS($A$1:$A$236,"="&amp;A91&amp;"?",$B$1:$B$236,"&gt;0",$D$1:$D$236,"&gt;0")&gt;0,
        (COUNTIFS($A$1:$A$236,"="&amp;A91&amp;"?",$B$1:$B$236,"&gt;0",$D$1:$D$236,"&gt;0",F$1:F$236,"=S",I$1:I$236,"") +
         (COUNTIFS($A$1:$A$236,"="&amp;A91&amp;"?",$B$1:$B$236,"&gt;0",$D$1:$D$236,"&gt;0",$F$1:$F$236,"=P",I$1:I$236,"")/2) +
         COUNTIFS($A$1:$A$236,"="&amp;A91&amp;"?",$B$1:$B$236,"&gt;0",$D$1:$D$236,"&gt;0",I$1:I$236,"=S") +
         (COUNTIFS($A$1:$A$236,"="&amp;A91&amp;"?",$B$1:$B$236,"&gt;0",$D$1:$D$236,"&gt;0",I$1:I$236,"=P")/2)
         )/COUNTIFS($A$1:$A$236,"="&amp;A91&amp;"?",$B$1:$B$236,"&gt;0",$D$1:$D$236,"&gt;0"),0)</f>
        <v>0</v>
      </c>
      <c r="J91" s="232"/>
      <c r="K91" s="565"/>
      <c r="L91" s="213"/>
      <c r="M91" s="722">
        <f>(M92*20+N92*10+O92*10+Q92*30+R92*15+S92*15)/100</f>
        <v>0</v>
      </c>
      <c r="N91" s="723"/>
      <c r="O91" s="723"/>
      <c r="P91" s="723"/>
      <c r="Q91" s="723"/>
      <c r="R91" s="723"/>
      <c r="S91" s="723"/>
      <c r="T91" s="724"/>
      <c r="U91" s="450"/>
      <c r="V91" s="560"/>
      <c r="W91" s="611"/>
      <c r="X91" s="579"/>
      <c r="Y91" s="579"/>
      <c r="Z91" s="579"/>
      <c r="AA91" s="579"/>
      <c r="AB91" s="579"/>
    </row>
    <row r="92" spans="1:28" x14ac:dyDescent="0.25">
      <c r="A92" s="210" t="s">
        <v>713</v>
      </c>
      <c r="B92" s="7" t="str">
        <f>IF(  AND(ISNUMBER(C92),OR(ISNUMBER(D92),D92="PG")),IF(IF(Capa!$B$6="B",0,Capa!$B$6)&gt;=C92,1,0),"")</f>
        <v/>
      </c>
      <c r="C92" s="6" t="str">
        <f t="shared" si="9"/>
        <v/>
      </c>
      <c r="D92" s="2"/>
      <c r="E92" s="393">
        <f>IF(SUMIFS($B$1:$B$236,$A$1:$A$236,"="&amp;A91&amp;"?",B$1:B$236,"&gt;0")&lt;=0,0,COUNTIFS($F$1:$F$236,"*",$A$1:$A$236,"="&amp;A91&amp;"?",B$1:B$236,"&gt;0")/SUMIFS($B$1:$B$236,$A$1:$A$236,"="&amp;A91&amp;"?",B$1:B$236,"&gt;0"))</f>
        <v>0</v>
      </c>
      <c r="F92" s="555"/>
      <c r="G92" s="549"/>
      <c r="H92" s="253"/>
      <c r="I92" s="36"/>
      <c r="J92" s="253"/>
      <c r="K92" s="566"/>
      <c r="L92" s="252"/>
      <c r="M92" s="100">
        <f>(COUNTIFS($A$1:$A$236,"="&amp;$A91&amp;"?",$B$1:$B$236,"&gt;0",$D$1:$D$236,"=PG",M$1:M$236,"=1")*(IF(Capa!$B$6="B",100,IF(Capa!$B$6=1,50,IF(Capa!$B$6=2,33,25))))+COUNTIFS($A$1:$A$236,"="&amp;$A91&amp;"?",$B$1:$B$236,"&gt;0",$D$1:$D$236,"=PG",M$1:M$236,"=2")*(IF(Capa!$B$6="B",100,IF(Capa!$B$6=1,100,IF(Capa!$B$6=2,67,50))))+COUNTIFS($A$1:$A$236,"="&amp;$A91&amp;"?",$B$1:$B$236,"&gt;0",$D$1:$D$236,"=PG",M$1:M$236,"=3")*(IF(Capa!$B$6="B",100,IF(Capa!$B$6=1,100,IF(Capa!$B$6=2,100,75))))+COUNTIFS($A$1:$A$236,"="&amp;$A91&amp;"?",$B$1:$B$236,"&gt;0",$D$1:$D$236,"=PG",M$1:M$236,"=4")*100)/(COUNTIFS($A$1:$A$236,"="&amp;$A91&amp;"?",$B$1:$B$236,"&gt;0",$D$1:$D$236,"=PG")*100)</f>
        <v>0</v>
      </c>
      <c r="N92" s="100">
        <f>(COUNTIFS($A$1:$A$236,"="&amp;$A91&amp;"?",$B$1:$B$236,"&gt;0",$D$1:$D$236,"=PG",N$1:N$236,"=1")*(IF(Capa!$B$6="B",100,IF(Capa!$B$6=1,50,IF(Capa!$B$6=2,33,25))))+COUNTIFS($A$1:$A$236,"="&amp;$A91&amp;"?",$B$1:$B$236,"&gt;0",$D$1:$D$236,"=PG",N$1:N$236,"=2")*(IF(Capa!$B$6="B",100,IF(Capa!$B$6=1,100,IF(Capa!$B$6=2,67,50))))+COUNTIFS($A$1:$A$236,"="&amp;$A91&amp;"?",$B$1:$B$236,"&gt;0",$D$1:$D$236,"=PG",N$1:N$236,"=3")*(IF(Capa!$B$6="B",100,IF(Capa!$B$6=1,100,IF(Capa!$B$6=2,100,75))))+COUNTIFS($A$1:$A$236,"="&amp;$A91&amp;"?",$B$1:$B$236,"&gt;0",$D$1:$D$236,"=PG",N$1:N$236,"=4")*100)/(COUNTIFS($A$1:$A$236,"="&amp;$A91&amp;"?",$B$1:$B$236,"&gt;0",$D$1:$D$236,"=PG")*100)</f>
        <v>0</v>
      </c>
      <c r="O92" s="100">
        <f>(COUNTIFS($A$1:$A$236,"="&amp;$A91&amp;"?",$B$1:$B$236,"&gt;0",$D$1:$D$236,"=PG",O$1:O$236,"=1")*(IF(Capa!$B$6="B",100,IF(Capa!$B$6=1,50,IF(Capa!$B$6=2,33,25))))+COUNTIFS($A$1:$A$236,"="&amp;$A91&amp;"?",$B$1:$B$236,"&gt;0",$D$1:$D$236,"=PG",O$1:O$236,"=2")*(IF(Capa!$B$6="B",100,IF(Capa!$B$6=1,100,IF(Capa!$B$6=2,67,50))))+COUNTIFS($A$1:$A$236,"="&amp;$A91&amp;"?",$B$1:$B$236,"&gt;0",$D$1:$D$236,"=PG",O$1:O$236,"=3")*(IF(Capa!$B$6="B",100,IF(Capa!$B$6=1,100,IF(Capa!$B$6=2,100,75))))+COUNTIFS($A$1:$A$236,"="&amp;$A91&amp;"?",$B$1:$B$236,"&gt;0",$D$1:$D$236,"=PG",O$1:O$236,"=4")*100)/(COUNTIFS($A$1:$A$236,"="&amp;$A91&amp;"?",$B$1:$B$236,"&gt;0",$D$1:$D$236,"=PG")*100)</f>
        <v>0</v>
      </c>
      <c r="P92" s="414">
        <f>P95+P111+P132+P145</f>
        <v>0</v>
      </c>
      <c r="Q92" s="100">
        <f>(COUNTIFS($A$1:$A$236,"="&amp;$A91&amp;"?",$B$1:$B$236,"",$L$1:$L$236,"&gt;=0",Q$1:Q$236,"=1")*(IF(Capa!$B$6="B",100,IF(Capa!$B$6=1,50,IF(Capa!$B$6=2,33,25))))+COUNTIFS($A$1:$A$236,"="&amp;$A91&amp;"?",$B$1:$B$236,"",$L$1:$L$236,"&gt;=0",Q$1:Q$236,"=2")*(IF(Capa!$B$6="B",100,IF(Capa!$B$6=1,100,IF(Capa!$B$6=2,67,50))))+COUNTIFS($A$1:$A$236,"="&amp;$A91&amp;"?",$B$1:$B$236,"",$L$1:$L$236,"&gt;=0",Q$1:Q$236,"=3")*(IF(Capa!$B$6="B",100,IF(Capa!$B$6=1,100,IF(Capa!$B$6=2,100,75))))+COUNTIFS($A$1:$A$236,"="&amp;$A91&amp;"?",$B$1:$B$236,"",$L$1:$L$236,"&gt;=0",Q$1:Q$236,"=4")*100)/(COUNTIFS($A$1:$A$236,"="&amp;$A91&amp;"?",$B$1:$B$236,"",$L$1:$L$236,"&gt;=0")*100)</f>
        <v>0</v>
      </c>
      <c r="R92" s="100">
        <f>(COUNTIFS($A$1:$A$236,"="&amp;$A91&amp;"?",$B$1:$B$236,"&gt;0",$D$1:$D$236,"=PG",R$1:R$236,"=1")*(IF(Capa!$B$6="B",100,IF(Capa!$B$6=1,50,IF(Capa!$B$6=2,33,25))))+COUNTIFS($A$1:$A$236,"="&amp;$A91&amp;"?",$B$1:$B$236,"&gt;0",$D$1:$D$236,"=PG",R$1:R$236,"=2")*(IF(Capa!$B$6="B",100,IF(Capa!$B$6=1,100,IF(Capa!$B$6=2,67,50))))+COUNTIFS($A$1:$A$236,"="&amp;$A91&amp;"?",$B$1:$B$236,"&gt;0",$D$1:$D$236,"=PG",R$1:R$236,"=3")*(IF(Capa!$B$6="B",100,IF(Capa!$B$6=1,100,IF(Capa!$B$6=2,100,75))))+COUNTIFS($A$1:$A$236,"="&amp;$A91&amp;"?",$B$1:$B$236,"&gt;0",$D$1:$D$236,"=PG",R$1:R$236,"=4")*100)/(COUNTIFS($A$1:$A$236,"="&amp;$A91&amp;"?",$B$1:$B$236,"&gt;0",$D$1:$D$236,"=PG")*100)</f>
        <v>0</v>
      </c>
      <c r="S92" s="100">
        <f>(COUNTIFS($A$1:$A$236,"="&amp;$A91&amp;"?",$B$1:$B$236,"&gt;0",$D$1:$D$236,"=PG",S$1:S$236,"=1")*(IF(Capa!$B$6="B",100,IF(Capa!$B$6=1,50,IF(Capa!$B$6=2,33,25))))+COUNTIFS($A$1:$A$236,"="&amp;$A91&amp;"?",$B$1:$B$236,"&gt;0",$D$1:$D$236,"=PG",S$1:S$236,"=2")*(IF(Capa!$B$6="B",100,IF(Capa!$B$6=1,100,IF(Capa!$B$6=2,67,50))))+COUNTIFS($A$1:$A$236,"="&amp;$A91&amp;"?",$B$1:$B$236,"&gt;0",$D$1:$D$236,"=PG",S$1:S$236,"=3")*(IF(Capa!$B$6="B",100,IF(Capa!$B$6=1,100,IF(Capa!$B$6=2,100,75))))+COUNTIFS($A$1:$A$236,"="&amp;$A91&amp;"?",$B$1:$B$236,"&gt;0",$D$1:$D$236,"=PG",S$1:S$236,"=4")*100)/(COUNTIFS($A$1:$A$236,"="&amp;$A91&amp;"?",$B$1:$B$236,"&gt;0",$D$1:$D$236,"=PG")*100)</f>
        <v>0</v>
      </c>
      <c r="T92" s="414">
        <f>T95+T111+T132+T145</f>
        <v>0</v>
      </c>
      <c r="U92" s="100"/>
      <c r="V92" s="465"/>
      <c r="W92" s="608"/>
      <c r="X92" s="522"/>
      <c r="Y92" s="522"/>
      <c r="Z92" s="522"/>
      <c r="AA92" s="522"/>
      <c r="AB92" s="522"/>
    </row>
    <row r="93" spans="1:28" x14ac:dyDescent="0.25">
      <c r="A93" s="210" t="s">
        <v>715</v>
      </c>
      <c r="B93" s="7" t="str">
        <f>IF(  AND(ISNUMBER(C93),OR(ISNUMBER(D93),D93="PG")),IF(IF(Capa!$B$6="B",0,Capa!$B$6)&gt;=C93,1,0),"")</f>
        <v/>
      </c>
      <c r="C93" s="6" t="str">
        <f t="shared" si="9"/>
        <v/>
      </c>
      <c r="D93" s="15"/>
      <c r="E93" s="395" t="s">
        <v>716</v>
      </c>
      <c r="F93" s="517"/>
      <c r="G93" s="550"/>
      <c r="H93" s="219"/>
      <c r="I93" s="23"/>
      <c r="J93" s="219"/>
      <c r="K93" s="528"/>
      <c r="L93" s="383">
        <f>IF(AND($B95=1,D95="PG"),IF(COUNTIFS($A$1:$A$236,"="&amp;$A93,$B$1:$B$236,"&gt;0",$D$1:$D$236,"&gt;0")&gt;0,
        (COUNTIFS($A$1:$A$236,"="&amp;$A93,$B$1:$B$236,"&gt;0",$D$1:$D$236,"&gt;0",F$1:F$236,"=S",I$1:I$236,"") +
         (COUNTIFS($A$1:$A$236,"="&amp;$A93,$B$1:$B$236,"&gt;0",$D$1:$D$236,"&gt;0",$F$1:$F$236,"=P",I$1:I$236,"")/2) +
         COUNTIFS($A$1:$A$236,"="&amp;$A93,$B$1:$B$236,"&gt;0",$D$1:$D$236,"&gt;0",I$1:I$236,"=S") +
         (COUNTIFS($A$1:$A$236,"="&amp;$A93,$B$1:$B$236,"&gt;0",$D$1:$D$236,"&gt;0",I$1:I$236,"=P")/2)
         )/COUNTIFS($A$1:$A$236,"="&amp;$A93,$B$1:$B$236,"&gt;0",$D$1:$D$236,"&gt;0"),1),"")</f>
        <v>0</v>
      </c>
      <c r="M93" s="380"/>
      <c r="N93" s="70"/>
      <c r="O93" s="68"/>
      <c r="P93" s="68"/>
      <c r="Q93" s="83">
        <f>IF(L93="","",MIN(IF(ISBLANK(Q95),0,Q95),IF(L93&gt;0.9,4,IF(L93&gt;0.5,3,IF(L93&gt;0.3,2,IF(OR(L93&gt;0,Q95&gt;0),1,0))))))</f>
        <v>0</v>
      </c>
      <c r="R93" s="83"/>
      <c r="S93" s="303"/>
      <c r="T93" s="292"/>
      <c r="U93" s="292"/>
      <c r="V93" s="545"/>
      <c r="W93" s="604"/>
      <c r="X93" s="579"/>
      <c r="Y93" s="579"/>
      <c r="Z93" s="579"/>
      <c r="AA93" s="579"/>
      <c r="AB93" s="579"/>
    </row>
    <row r="94" spans="1:28" ht="7.7" customHeight="1" x14ac:dyDescent="0.25">
      <c r="A94" s="210" t="s">
        <v>715</v>
      </c>
      <c r="B94" s="7" t="str">
        <f>IF(  AND(ISNUMBER(C94),OR(ISNUMBER(D94),D94="PG")),IF(IF(Capa!$B$6="B",0,Capa!$B$6)&gt;=C94,1,0),"")</f>
        <v/>
      </c>
      <c r="C94" s="6">
        <f t="shared" si="9"/>
        <v>0</v>
      </c>
      <c r="D94" s="5" t="s">
        <v>53</v>
      </c>
      <c r="E94" s="391"/>
      <c r="F94" s="554"/>
      <c r="G94" s="561"/>
      <c r="H94" s="239"/>
      <c r="I94" s="26"/>
      <c r="J94" s="239"/>
      <c r="K94" s="563"/>
      <c r="L94" s="213"/>
      <c r="M94" s="82"/>
      <c r="N94" s="59"/>
      <c r="O94" s="59"/>
      <c r="P94" s="59"/>
      <c r="Q94" s="59"/>
      <c r="R94" s="59"/>
      <c r="S94" s="262"/>
      <c r="T94" s="262"/>
      <c r="U94" s="355"/>
      <c r="V94" s="465"/>
      <c r="W94" s="608"/>
      <c r="X94" s="522"/>
      <c r="Y94" s="522"/>
      <c r="Z94" s="522"/>
      <c r="AA94" s="522"/>
      <c r="AB94" s="522"/>
    </row>
    <row r="95" spans="1:28" ht="76.5" x14ac:dyDescent="0.25">
      <c r="A95" s="646" t="s">
        <v>715</v>
      </c>
      <c r="B95" s="7">
        <f>IF(  AND(ISNUMBER(C95),OR(ISNUMBER(D95),D95="PG")),IF(IF(Capa!$B$6="B",0,Capa!$B$6)&gt;=C95,1,0),"")</f>
        <v>1</v>
      </c>
      <c r="C95" s="6">
        <f t="shared" si="9"/>
        <v>0</v>
      </c>
      <c r="D95" s="647" t="s">
        <v>54</v>
      </c>
      <c r="E95" s="389" t="s">
        <v>717</v>
      </c>
      <c r="F95" s="513"/>
      <c r="G95" s="468"/>
      <c r="H95" s="241"/>
      <c r="I95" s="29"/>
      <c r="J95" s="239"/>
      <c r="K95" s="471"/>
      <c r="L95" s="697" t="str">
        <f>IF(OR(AND(NOT(ISBLANK(M95)),M95&lt;IF(Capa!$B$6&lt;&gt;"B",Capa!$B$6+1,1)),AND(NOT(ISBLANK(N95)),N95&lt;IF(Capa!$B$6&lt;&gt;"B",Capa!$B$6+1,1)),AND(NOT(ISBLANK(O95)),O95&lt;IF(Capa!$B$6&lt;&gt;"B",Capa!$B$6+1,1)),AND(NOT(ISBLANK(Q95)),Q95&lt;IF(Capa!$B$6&lt;&gt;"B",Capa!$B$6+1,1)),AND(NOT(ISBLANK(R95)),R95&lt;IF(Capa!$B$6&lt;&gt;"B",Capa!$B$6+1,1)),AND(NOT(ISBLANK(S95)),S95&lt;IF(Capa!$B$6&lt;&gt;"B",Capa!$B$6+1,1))),1,"")</f>
        <v/>
      </c>
      <c r="M95" s="81"/>
      <c r="N95" s="81"/>
      <c r="O95" s="81"/>
      <c r="P95" s="81"/>
      <c r="Q95" s="81"/>
      <c r="R95" s="81"/>
      <c r="S95" s="81"/>
      <c r="T95" s="81"/>
      <c r="U95" s="58"/>
      <c r="V95" s="464"/>
      <c r="W95" s="609"/>
      <c r="X95" s="666"/>
      <c r="Y95" s="522"/>
      <c r="Z95" s="522"/>
      <c r="AA95" s="522"/>
      <c r="AB95" s="522"/>
    </row>
    <row r="96" spans="1:28" ht="43.15" customHeight="1" x14ac:dyDescent="0.25">
      <c r="A96" s="646" t="s">
        <v>715</v>
      </c>
      <c r="B96" s="7">
        <f>IF(  AND(ISNUMBER(C96),OR(ISNUMBER(D96),D96="PG")),IF(IF(Capa!$B$6="B",0,Capa!$B$6)&gt;=C96,1,0),"")</f>
        <v>1</v>
      </c>
      <c r="C96" s="6">
        <f t="shared" si="9"/>
        <v>0</v>
      </c>
      <c r="D96" s="647">
        <v>468</v>
      </c>
      <c r="E96" s="398" t="s">
        <v>718</v>
      </c>
      <c r="F96" s="513"/>
      <c r="G96" s="468"/>
      <c r="H96" s="241"/>
      <c r="I96" s="29"/>
      <c r="J96" s="425">
        <f t="shared" ref="J96:J107" si="12">LEN(K96)</f>
        <v>0</v>
      </c>
      <c r="K96" s="471"/>
      <c r="L96" s="697" t="str">
        <f t="shared" ref="L96:L107" si="13">IF(OR(I96="N",I96="P"),1,"")</f>
        <v/>
      </c>
      <c r="M96" s="719"/>
      <c r="N96" s="720"/>
      <c r="O96" s="720"/>
      <c r="P96" s="720"/>
      <c r="Q96" s="720"/>
      <c r="R96" s="720"/>
      <c r="S96" s="720"/>
      <c r="T96" s="721"/>
      <c r="U96" s="71"/>
      <c r="V96" s="464"/>
      <c r="W96" s="609"/>
      <c r="X96" s="522"/>
      <c r="Y96" s="522"/>
      <c r="Z96" s="522"/>
      <c r="AA96" s="522"/>
      <c r="AB96" s="522"/>
    </row>
    <row r="97" spans="1:28" ht="45" x14ac:dyDescent="0.25">
      <c r="A97" s="646" t="s">
        <v>715</v>
      </c>
      <c r="B97" s="7">
        <f>IF(  AND(ISNUMBER(C97),OR(ISNUMBER(D97),D97="PG")),IF(IF(Capa!$B$6="B",0,Capa!$B$6)&gt;=C97,1,0),"")</f>
        <v>1</v>
      </c>
      <c r="C97" s="6">
        <f t="shared" si="9"/>
        <v>0</v>
      </c>
      <c r="D97" s="647">
        <v>469</v>
      </c>
      <c r="E97" s="398" t="s">
        <v>719</v>
      </c>
      <c r="F97" s="513"/>
      <c r="G97" s="468"/>
      <c r="H97" s="241"/>
      <c r="I97" s="29"/>
      <c r="J97" s="425">
        <f t="shared" si="12"/>
        <v>0</v>
      </c>
      <c r="K97" s="471"/>
      <c r="L97" s="697" t="str">
        <f t="shared" si="13"/>
        <v/>
      </c>
      <c r="M97" s="719"/>
      <c r="N97" s="720"/>
      <c r="O97" s="720"/>
      <c r="P97" s="720"/>
      <c r="Q97" s="720"/>
      <c r="R97" s="720"/>
      <c r="S97" s="720"/>
      <c r="T97" s="721"/>
      <c r="U97" s="71"/>
      <c r="V97" s="464"/>
      <c r="W97" s="609"/>
      <c r="X97" s="522"/>
      <c r="Y97" s="522"/>
      <c r="Z97" s="522"/>
      <c r="AA97" s="522"/>
      <c r="AB97" s="522"/>
    </row>
    <row r="98" spans="1:28" ht="45" x14ac:dyDescent="0.25">
      <c r="A98" s="646" t="s">
        <v>715</v>
      </c>
      <c r="B98" s="7">
        <f>IF(  AND(ISNUMBER(C98),OR(ISNUMBER(D98),D98="PG")),IF(IF(Capa!$B$6="B",0,Capa!$B$6)&gt;=C98,1,0),"")</f>
        <v>1</v>
      </c>
      <c r="C98" s="6">
        <f t="shared" si="9"/>
        <v>0</v>
      </c>
      <c r="D98" s="647">
        <v>470</v>
      </c>
      <c r="E98" s="352" t="s">
        <v>720</v>
      </c>
      <c r="F98" s="513"/>
      <c r="G98" s="468"/>
      <c r="H98" s="241"/>
      <c r="I98" s="29"/>
      <c r="J98" s="425">
        <f t="shared" si="12"/>
        <v>0</v>
      </c>
      <c r="K98" s="471"/>
      <c r="L98" s="697" t="str">
        <f t="shared" si="13"/>
        <v/>
      </c>
      <c r="M98" s="719"/>
      <c r="N98" s="720"/>
      <c r="O98" s="720"/>
      <c r="P98" s="720"/>
      <c r="Q98" s="720"/>
      <c r="R98" s="720"/>
      <c r="S98" s="720"/>
      <c r="T98" s="721"/>
      <c r="U98" s="71"/>
      <c r="V98" s="464"/>
      <c r="W98" s="609"/>
      <c r="X98" s="522"/>
      <c r="Y98" s="522"/>
      <c r="Z98" s="522"/>
      <c r="AA98" s="522"/>
      <c r="AB98" s="522"/>
    </row>
    <row r="99" spans="1:28" ht="6" customHeight="1" x14ac:dyDescent="0.25">
      <c r="A99" s="646" t="s">
        <v>715</v>
      </c>
      <c r="B99" s="7" t="str">
        <f>IF(  AND(ISNUMBER(C99),OR(ISNUMBER(D99),D99="PG")),IF(IF(Capa!$B$6="B",0,Capa!$B$6)&gt;=C99,1,0),"")</f>
        <v/>
      </c>
      <c r="C99" s="6">
        <f t="shared" si="9"/>
        <v>1</v>
      </c>
      <c r="D99" s="647" t="s">
        <v>62</v>
      </c>
      <c r="E99" s="352"/>
      <c r="F99" s="513"/>
      <c r="G99" s="468"/>
      <c r="H99" s="241"/>
      <c r="I99" s="29"/>
      <c r="J99" s="425">
        <f t="shared" si="12"/>
        <v>0</v>
      </c>
      <c r="K99" s="471"/>
      <c r="L99" s="697" t="str">
        <f t="shared" si="13"/>
        <v/>
      </c>
      <c r="M99" s="719"/>
      <c r="N99" s="720"/>
      <c r="O99" s="720"/>
      <c r="P99" s="720"/>
      <c r="Q99" s="720"/>
      <c r="R99" s="720"/>
      <c r="S99" s="720"/>
      <c r="T99" s="721"/>
      <c r="U99" s="71"/>
      <c r="V99" s="464"/>
      <c r="W99" s="609"/>
      <c r="X99" s="522"/>
      <c r="Y99" s="522"/>
      <c r="Z99" s="522"/>
      <c r="AA99" s="522"/>
      <c r="AB99" s="522"/>
    </row>
    <row r="100" spans="1:28" ht="45" x14ac:dyDescent="0.25">
      <c r="A100" s="646" t="s">
        <v>715</v>
      </c>
      <c r="B100" s="7">
        <f>IF(  AND(ISNUMBER(C100),OR(ISNUMBER(D100),D100="PG")),IF(IF(Capa!$B$6="B",0,Capa!$B$6)&gt;=C100,1,0),"")</f>
        <v>0</v>
      </c>
      <c r="C100" s="6">
        <f t="shared" si="9"/>
        <v>1</v>
      </c>
      <c r="D100" s="647">
        <v>471</v>
      </c>
      <c r="E100" s="352" t="s">
        <v>721</v>
      </c>
      <c r="F100" s="513"/>
      <c r="G100" s="468"/>
      <c r="H100" s="241"/>
      <c r="I100" s="29"/>
      <c r="J100" s="425">
        <f t="shared" si="12"/>
        <v>0</v>
      </c>
      <c r="K100" s="471"/>
      <c r="L100" s="697" t="str">
        <f t="shared" si="13"/>
        <v/>
      </c>
      <c r="M100" s="719"/>
      <c r="N100" s="720"/>
      <c r="O100" s="720"/>
      <c r="P100" s="720"/>
      <c r="Q100" s="720"/>
      <c r="R100" s="720"/>
      <c r="S100" s="720"/>
      <c r="T100" s="721"/>
      <c r="U100" s="71"/>
      <c r="V100" s="464"/>
      <c r="W100" s="609"/>
      <c r="X100" s="522"/>
      <c r="Y100" s="522"/>
      <c r="Z100" s="522"/>
      <c r="AA100" s="522"/>
      <c r="AB100" s="522"/>
    </row>
    <row r="101" spans="1:28" ht="6.6" customHeight="1" x14ac:dyDescent="0.25">
      <c r="A101" s="646" t="s">
        <v>715</v>
      </c>
      <c r="B101" s="7" t="str">
        <f>IF(  AND(ISNUMBER(C101),OR(ISNUMBER(D101),D101="PG")),IF(IF(Capa!$B$6="B",0,Capa!$B$6)&gt;=C101,1,0),"")</f>
        <v/>
      </c>
      <c r="C101" s="6">
        <f t="shared" si="9"/>
        <v>2</v>
      </c>
      <c r="D101" s="647" t="s">
        <v>64</v>
      </c>
      <c r="E101" s="352"/>
      <c r="F101" s="513"/>
      <c r="G101" s="468"/>
      <c r="H101" s="241"/>
      <c r="I101" s="29"/>
      <c r="J101" s="425">
        <f t="shared" si="12"/>
        <v>0</v>
      </c>
      <c r="K101" s="471"/>
      <c r="L101" s="697" t="str">
        <f t="shared" si="13"/>
        <v/>
      </c>
      <c r="M101" s="719"/>
      <c r="N101" s="720"/>
      <c r="O101" s="720"/>
      <c r="P101" s="720"/>
      <c r="Q101" s="720"/>
      <c r="R101" s="720"/>
      <c r="S101" s="720"/>
      <c r="T101" s="721"/>
      <c r="U101" s="71"/>
      <c r="V101" s="464"/>
      <c r="W101" s="609"/>
      <c r="X101" s="522"/>
      <c r="Y101" s="522"/>
      <c r="Z101" s="522"/>
      <c r="AA101" s="522"/>
      <c r="AB101" s="522"/>
    </row>
    <row r="102" spans="1:28" ht="45" x14ac:dyDescent="0.25">
      <c r="A102" s="646" t="s">
        <v>715</v>
      </c>
      <c r="B102" s="7">
        <f>IF(  AND(ISNUMBER(C102),OR(ISNUMBER(D102),D102="PG")),IF(IF(Capa!$B$6="B",0,Capa!$B$6)&gt;=C102,1,0),"")</f>
        <v>0</v>
      </c>
      <c r="C102" s="6">
        <f t="shared" si="9"/>
        <v>2</v>
      </c>
      <c r="D102" s="647">
        <v>472</v>
      </c>
      <c r="E102" s="352" t="s">
        <v>722</v>
      </c>
      <c r="F102" s="513"/>
      <c r="G102" s="468"/>
      <c r="H102" s="241"/>
      <c r="I102" s="29"/>
      <c r="J102" s="425">
        <f t="shared" si="12"/>
        <v>0</v>
      </c>
      <c r="K102" s="471"/>
      <c r="L102" s="697" t="str">
        <f t="shared" si="13"/>
        <v/>
      </c>
      <c r="M102" s="719"/>
      <c r="N102" s="720"/>
      <c r="O102" s="720"/>
      <c r="P102" s="720"/>
      <c r="Q102" s="720"/>
      <c r="R102" s="720"/>
      <c r="S102" s="720"/>
      <c r="T102" s="721"/>
      <c r="U102" s="71"/>
      <c r="V102" s="464"/>
      <c r="W102" s="609"/>
      <c r="X102" s="522"/>
      <c r="Y102" s="522"/>
      <c r="Z102" s="522"/>
      <c r="AA102" s="522"/>
      <c r="AB102" s="522"/>
    </row>
    <row r="103" spans="1:28" ht="45" x14ac:dyDescent="0.25">
      <c r="A103" s="646" t="s">
        <v>715</v>
      </c>
      <c r="B103" s="7">
        <f>IF(  AND(ISNUMBER(C103),OR(ISNUMBER(D103),D103="PG")),IF(IF(Capa!$B$6="B",0,Capa!$B$6)&gt;=C103,1,0),"")</f>
        <v>0</v>
      </c>
      <c r="C103" s="6">
        <f t="shared" si="9"/>
        <v>2</v>
      </c>
      <c r="D103" s="647">
        <v>473</v>
      </c>
      <c r="E103" s="352" t="s">
        <v>723</v>
      </c>
      <c r="F103" s="513"/>
      <c r="G103" s="468"/>
      <c r="H103" s="241"/>
      <c r="I103" s="29"/>
      <c r="J103" s="425">
        <f t="shared" si="12"/>
        <v>0</v>
      </c>
      <c r="K103" s="471"/>
      <c r="L103" s="697" t="str">
        <f t="shared" si="13"/>
        <v/>
      </c>
      <c r="M103" s="719"/>
      <c r="N103" s="720"/>
      <c r="O103" s="720"/>
      <c r="P103" s="720"/>
      <c r="Q103" s="720"/>
      <c r="R103" s="720"/>
      <c r="S103" s="720"/>
      <c r="T103" s="721"/>
      <c r="U103" s="71"/>
      <c r="V103" s="464"/>
      <c r="W103" s="609"/>
      <c r="X103" s="522"/>
      <c r="Y103" s="522"/>
      <c r="Z103" s="522"/>
      <c r="AA103" s="522"/>
      <c r="AB103" s="522"/>
    </row>
    <row r="104" spans="1:28" ht="30" x14ac:dyDescent="0.25">
      <c r="A104" s="646" t="s">
        <v>715</v>
      </c>
      <c r="B104" s="7">
        <f>IF(  AND(ISNUMBER(C104),OR(ISNUMBER(D104),D104="PG")),IF(IF(Capa!$B$6="B",0,Capa!$B$6)&gt;=C104,1,0),"")</f>
        <v>0</v>
      </c>
      <c r="C104" s="6">
        <f t="shared" si="9"/>
        <v>2</v>
      </c>
      <c r="D104" s="647">
        <v>474</v>
      </c>
      <c r="E104" s="352" t="s">
        <v>724</v>
      </c>
      <c r="F104" s="513"/>
      <c r="G104" s="468"/>
      <c r="H104" s="241"/>
      <c r="I104" s="29"/>
      <c r="J104" s="425">
        <f t="shared" si="12"/>
        <v>0</v>
      </c>
      <c r="K104" s="471"/>
      <c r="L104" s="697" t="str">
        <f t="shared" si="13"/>
        <v/>
      </c>
      <c r="M104" s="719"/>
      <c r="N104" s="720"/>
      <c r="O104" s="720"/>
      <c r="P104" s="720"/>
      <c r="Q104" s="720"/>
      <c r="R104" s="720"/>
      <c r="S104" s="720"/>
      <c r="T104" s="721"/>
      <c r="U104" s="71"/>
      <c r="V104" s="464"/>
      <c r="W104" s="609"/>
      <c r="X104" s="522"/>
      <c r="Y104" s="522"/>
      <c r="Z104" s="522"/>
      <c r="AA104" s="522"/>
      <c r="AB104" s="522"/>
    </row>
    <row r="105" spans="1:28" ht="6.6" customHeight="1" x14ac:dyDescent="0.25">
      <c r="A105" s="646" t="s">
        <v>715</v>
      </c>
      <c r="B105" s="7" t="str">
        <f>IF(  AND(ISNUMBER(C105),OR(ISNUMBER(D105),D105="PG")),IF(IF(Capa!$B$6="B",0,Capa!$B$6)&gt;=C105,1,0),"")</f>
        <v/>
      </c>
      <c r="C105" s="6">
        <f t="shared" si="9"/>
        <v>3</v>
      </c>
      <c r="D105" s="647" t="s">
        <v>70</v>
      </c>
      <c r="E105" s="352"/>
      <c r="F105" s="513"/>
      <c r="G105" s="468"/>
      <c r="H105" s="241"/>
      <c r="I105" s="29"/>
      <c r="J105" s="425">
        <f t="shared" si="12"/>
        <v>0</v>
      </c>
      <c r="K105" s="471"/>
      <c r="L105" s="697" t="str">
        <f t="shared" si="13"/>
        <v/>
      </c>
      <c r="M105" s="719"/>
      <c r="N105" s="720"/>
      <c r="O105" s="720"/>
      <c r="P105" s="720"/>
      <c r="Q105" s="720"/>
      <c r="R105" s="720"/>
      <c r="S105" s="720"/>
      <c r="T105" s="721"/>
      <c r="U105" s="71"/>
      <c r="V105" s="464"/>
      <c r="W105" s="609"/>
      <c r="X105" s="522"/>
      <c r="Y105" s="522"/>
      <c r="Z105" s="522"/>
      <c r="AA105" s="522"/>
      <c r="AB105" s="522"/>
    </row>
    <row r="106" spans="1:28" ht="60" x14ac:dyDescent="0.25">
      <c r="A106" s="646" t="s">
        <v>715</v>
      </c>
      <c r="B106" s="7">
        <f>IF(  AND(ISNUMBER(C106),OR(ISNUMBER(D106),D106="PG")),IF(IF(Capa!$B$6="B",0,Capa!$B$6)&gt;=C106,1,0),"")</f>
        <v>0</v>
      </c>
      <c r="C106" s="6">
        <f t="shared" si="9"/>
        <v>3</v>
      </c>
      <c r="D106" s="647">
        <v>475</v>
      </c>
      <c r="E106" s="352" t="s">
        <v>725</v>
      </c>
      <c r="F106" s="513"/>
      <c r="G106" s="468"/>
      <c r="H106" s="241"/>
      <c r="I106" s="29"/>
      <c r="J106" s="425">
        <f t="shared" si="12"/>
        <v>0</v>
      </c>
      <c r="K106" s="471"/>
      <c r="L106" s="697" t="str">
        <f t="shared" si="13"/>
        <v/>
      </c>
      <c r="M106" s="719"/>
      <c r="N106" s="720"/>
      <c r="O106" s="720"/>
      <c r="P106" s="720"/>
      <c r="Q106" s="720"/>
      <c r="R106" s="720"/>
      <c r="S106" s="720"/>
      <c r="T106" s="721"/>
      <c r="U106" s="71"/>
      <c r="V106" s="464"/>
      <c r="W106" s="609"/>
      <c r="X106" s="522"/>
      <c r="Y106" s="522"/>
      <c r="Z106" s="522"/>
      <c r="AA106" s="522"/>
      <c r="AB106" s="522"/>
    </row>
    <row r="107" spans="1:28" ht="30" x14ac:dyDescent="0.25">
      <c r="A107" s="646" t="s">
        <v>715</v>
      </c>
      <c r="B107" s="7">
        <f>IF(  AND(ISNUMBER(C107),OR(ISNUMBER(D107),D107="PG")),IF(IF(Capa!$B$6="B",0,Capa!$B$6)&gt;=C107,1,0),"")</f>
        <v>0</v>
      </c>
      <c r="C107" s="6">
        <f t="shared" si="9"/>
        <v>3</v>
      </c>
      <c r="D107" s="647">
        <v>476</v>
      </c>
      <c r="E107" s="352" t="s">
        <v>726</v>
      </c>
      <c r="F107" s="513"/>
      <c r="G107" s="468"/>
      <c r="H107" s="241"/>
      <c r="I107" s="29"/>
      <c r="J107" s="425">
        <f t="shared" si="12"/>
        <v>0</v>
      </c>
      <c r="K107" s="471"/>
      <c r="L107" s="697" t="str">
        <f t="shared" si="13"/>
        <v/>
      </c>
      <c r="M107" s="719"/>
      <c r="N107" s="720"/>
      <c r="O107" s="720"/>
      <c r="P107" s="720"/>
      <c r="Q107" s="720"/>
      <c r="R107" s="720"/>
      <c r="S107" s="720"/>
      <c r="T107" s="721"/>
      <c r="U107" s="71"/>
      <c r="V107" s="464"/>
      <c r="W107" s="609"/>
      <c r="X107" s="522"/>
      <c r="Y107" s="522"/>
      <c r="Z107" s="522"/>
      <c r="AA107" s="522"/>
      <c r="AB107" s="522"/>
    </row>
    <row r="108" spans="1:28" ht="11.1" customHeight="1" x14ac:dyDescent="0.25">
      <c r="B108" s="7" t="str">
        <f>IF(  AND(ISNUMBER(C108),OR(ISNUMBER(D108),D108="PG")),IF(IF(Capa!$B$6="B",0,Capa!$B$6)&gt;=C108,1,0),"")</f>
        <v/>
      </c>
      <c r="C108" s="6" t="str">
        <f t="shared" si="9"/>
        <v/>
      </c>
      <c r="D108" s="122"/>
      <c r="E108" s="299"/>
      <c r="F108" s="123"/>
      <c r="G108" s="227"/>
      <c r="H108" s="227"/>
      <c r="I108" s="123"/>
      <c r="J108" s="227"/>
      <c r="K108" s="694"/>
      <c r="L108" s="219"/>
      <c r="M108" s="124"/>
      <c r="N108" s="124"/>
      <c r="O108" s="124"/>
      <c r="P108" s="124"/>
      <c r="Q108" s="124"/>
      <c r="R108" s="124"/>
      <c r="S108" s="251"/>
      <c r="T108" s="251"/>
      <c r="U108" s="260"/>
      <c r="V108" s="556"/>
      <c r="W108" s="138"/>
      <c r="X108" s="522"/>
      <c r="Y108" s="522"/>
      <c r="Z108" s="522"/>
      <c r="AA108" s="522"/>
      <c r="AB108" s="522"/>
    </row>
    <row r="109" spans="1:28" x14ac:dyDescent="0.25">
      <c r="A109" s="210" t="s">
        <v>727</v>
      </c>
      <c r="B109" s="7" t="str">
        <f>IF(  AND(ISNUMBER(C109),OR(ISNUMBER(D109),D109="PG")),IF(IF(Capa!$B$6="B",0,Capa!$B$6)&gt;=C109,1,0),"")</f>
        <v/>
      </c>
      <c r="C109" s="6" t="str">
        <f t="shared" si="9"/>
        <v/>
      </c>
      <c r="D109" s="15"/>
      <c r="E109" s="395" t="s">
        <v>728</v>
      </c>
      <c r="F109" s="517"/>
      <c r="G109" s="550"/>
      <c r="H109" s="219"/>
      <c r="I109" s="23"/>
      <c r="J109" s="219"/>
      <c r="K109" s="528"/>
      <c r="L109" s="383">
        <f>IF(AND($B111=1,D111="PG"),IF(COUNTIFS($A$1:$A$236,"="&amp;$A109,$B$1:$B$236,"&gt;0",$D$1:$D$236,"&gt;0")&gt;0,
        (COUNTIFS($A$1:$A$236,"="&amp;$A109,$B$1:$B$236,"&gt;0",$D$1:$D$236,"&gt;0",F$1:F$236,"=S",I$1:I$236,"") +
         (COUNTIFS($A$1:$A$236,"="&amp;$A109,$B$1:$B$236,"&gt;0",$D$1:$D$236,"&gt;0",$F$1:$F$236,"=P",I$1:I$236,"")/2) +
         COUNTIFS($A$1:$A$236,"="&amp;$A109,$B$1:$B$236,"&gt;0",$D$1:$D$236,"&gt;0",I$1:I$236,"=S") +
         (COUNTIFS($A$1:$A$236,"="&amp;$A109,$B$1:$B$236,"&gt;0",$D$1:$D$236,"&gt;0",I$1:I$236,"=P")/2)
         )/COUNTIFS($A$1:$A$236,"="&amp;$A109,$B$1:$B$236,"&gt;0",$D$1:$D$236,"&gt;0"),1),"")</f>
        <v>0</v>
      </c>
      <c r="M109" s="380"/>
      <c r="N109" s="70"/>
      <c r="O109" s="68"/>
      <c r="P109" s="68"/>
      <c r="Q109" s="83">
        <f>IF(L109="","",MIN(IF(ISBLANK(Q111),0,Q111),IF(L109&gt;0.9,4,IF(L109&gt;0.5,3,IF(L109&gt;0.3,2,IF(OR(L109&gt;0,Q111&gt;0),1,0))))))</f>
        <v>0</v>
      </c>
      <c r="R109" s="378"/>
      <c r="S109" s="379"/>
      <c r="T109" s="459"/>
      <c r="U109" s="459"/>
      <c r="V109" s="545"/>
      <c r="W109" s="604"/>
      <c r="X109" s="579"/>
      <c r="Y109" s="579"/>
      <c r="Z109" s="579"/>
      <c r="AA109" s="579"/>
      <c r="AB109" s="579"/>
    </row>
    <row r="110" spans="1:28" ht="9" customHeight="1" x14ac:dyDescent="0.25">
      <c r="A110" s="210" t="s">
        <v>727</v>
      </c>
      <c r="B110" s="7" t="str">
        <f>IF(  AND(ISNUMBER(C110),OR(ISNUMBER(D110),D110="PG")),IF(IF(Capa!$B$6="B",0,Capa!$B$6)&gt;=C110,1,0),"")</f>
        <v/>
      </c>
      <c r="C110" s="6">
        <f t="shared" si="9"/>
        <v>0</v>
      </c>
      <c r="D110" s="5" t="s">
        <v>53</v>
      </c>
      <c r="E110" s="391"/>
      <c r="F110" s="554"/>
      <c r="G110" s="561"/>
      <c r="H110" s="239"/>
      <c r="I110" s="26"/>
      <c r="J110" s="239"/>
      <c r="K110" s="563"/>
      <c r="L110" s="213"/>
      <c r="M110" s="82"/>
      <c r="N110" s="59"/>
      <c r="O110" s="59"/>
      <c r="P110" s="59"/>
      <c r="Q110" s="59"/>
      <c r="R110" s="59"/>
      <c r="S110" s="262"/>
      <c r="T110" s="262"/>
      <c r="U110" s="355"/>
      <c r="V110" s="465"/>
      <c r="W110" s="608"/>
      <c r="X110" s="522"/>
      <c r="Y110" s="522"/>
      <c r="Z110" s="522"/>
      <c r="AA110" s="522"/>
      <c r="AB110" s="522"/>
    </row>
    <row r="111" spans="1:28" ht="89.25" x14ac:dyDescent="0.25">
      <c r="A111" s="646" t="s">
        <v>727</v>
      </c>
      <c r="B111" s="7">
        <f>IF(  AND(ISNUMBER(C111),OR(ISNUMBER(D111),D111="PG")),IF(IF(Capa!$B$6="B",0,Capa!$B$6)&gt;=C111,1,0),"")</f>
        <v>1</v>
      </c>
      <c r="C111" s="6">
        <f t="shared" si="9"/>
        <v>0</v>
      </c>
      <c r="D111" s="647" t="s">
        <v>54</v>
      </c>
      <c r="E111" s="389" t="s">
        <v>729</v>
      </c>
      <c r="F111" s="513"/>
      <c r="G111" s="468"/>
      <c r="H111" s="241"/>
      <c r="I111" s="29"/>
      <c r="J111" s="239"/>
      <c r="K111" s="471"/>
      <c r="L111" s="697" t="str">
        <f>IF(OR(AND(NOT(ISBLANK(M111)),M111&lt;IF(Capa!$B$6&lt;&gt;"B",Capa!$B$6+1,1)),AND(NOT(ISBLANK(N111)),N111&lt;IF(Capa!$B$6&lt;&gt;"B",Capa!$B$6+1,1)),AND(NOT(ISBLANK(O111)),O111&lt;IF(Capa!$B$6&lt;&gt;"B",Capa!$B$6+1,1)),AND(NOT(ISBLANK(Q111)),Q111&lt;IF(Capa!$B$6&lt;&gt;"B",Capa!$B$6+1,1)),AND(NOT(ISBLANK(R111)),R111&lt;IF(Capa!$B$6&lt;&gt;"B",Capa!$B$6+1,1)),AND(NOT(ISBLANK(S111)),S111&lt;IF(Capa!$B$6&lt;&gt;"B",Capa!$B$6+1,1))),1,"")</f>
        <v/>
      </c>
      <c r="M111" s="81"/>
      <c r="N111" s="81"/>
      <c r="O111" s="81"/>
      <c r="P111" s="81"/>
      <c r="Q111" s="81"/>
      <c r="R111" s="81"/>
      <c r="S111" s="81"/>
      <c r="T111" s="81"/>
      <c r="U111" s="58"/>
      <c r="V111" s="464"/>
      <c r="W111" s="609"/>
      <c r="X111" s="666"/>
      <c r="Y111" s="522"/>
      <c r="Z111" s="522"/>
      <c r="AA111" s="522"/>
      <c r="AB111" s="522"/>
    </row>
    <row r="112" spans="1:28" ht="30" x14ac:dyDescent="0.25">
      <c r="A112" s="646" t="s">
        <v>727</v>
      </c>
      <c r="B112" s="7">
        <f>IF(  AND(ISNUMBER(C112),OR(ISNUMBER(D112),D112="PG")),IF(IF(Capa!$B$6="B",0,Capa!$B$6)&gt;=C112,1,0),"")</f>
        <v>1</v>
      </c>
      <c r="C112" s="6">
        <f t="shared" si="9"/>
        <v>0</v>
      </c>
      <c r="D112" s="647">
        <v>477</v>
      </c>
      <c r="E112" s="352" t="s">
        <v>730</v>
      </c>
      <c r="F112" s="513"/>
      <c r="G112" s="468"/>
      <c r="H112" s="241"/>
      <c r="I112" s="29"/>
      <c r="J112" s="425">
        <f t="shared" ref="J112:J128" si="14">LEN(K112)</f>
        <v>0</v>
      </c>
      <c r="K112" s="471"/>
      <c r="L112" s="697" t="str">
        <f t="shared" ref="L112:L128" si="15">IF(OR(I112="N",I112="P"),1,"")</f>
        <v/>
      </c>
      <c r="M112" s="719"/>
      <c r="N112" s="720"/>
      <c r="O112" s="720"/>
      <c r="P112" s="720"/>
      <c r="Q112" s="720"/>
      <c r="R112" s="720"/>
      <c r="S112" s="720"/>
      <c r="T112" s="721"/>
      <c r="U112" s="71"/>
      <c r="V112" s="464"/>
      <c r="W112" s="609"/>
      <c r="X112" s="522"/>
      <c r="Y112" s="522"/>
      <c r="Z112" s="522"/>
      <c r="AA112" s="522"/>
      <c r="AB112" s="522"/>
    </row>
    <row r="113" spans="1:28" ht="30" x14ac:dyDescent="0.25">
      <c r="A113" s="646" t="s">
        <v>727</v>
      </c>
      <c r="B113" s="7">
        <f>IF(  AND(ISNUMBER(C113),OR(ISNUMBER(D113),D113="PG")),IF(IF(Capa!$B$6="B",0,Capa!$B$6)&gt;=C113,1,0),"")</f>
        <v>1</v>
      </c>
      <c r="C113" s="6">
        <f t="shared" si="9"/>
        <v>0</v>
      </c>
      <c r="D113" s="647">
        <v>478</v>
      </c>
      <c r="E113" s="352" t="s">
        <v>731</v>
      </c>
      <c r="F113" s="513"/>
      <c r="G113" s="468"/>
      <c r="H113" s="241"/>
      <c r="I113" s="29"/>
      <c r="J113" s="425">
        <f t="shared" si="14"/>
        <v>0</v>
      </c>
      <c r="K113" s="471"/>
      <c r="L113" s="697" t="str">
        <f t="shared" si="15"/>
        <v/>
      </c>
      <c r="M113" s="719"/>
      <c r="N113" s="720"/>
      <c r="O113" s="720"/>
      <c r="P113" s="720"/>
      <c r="Q113" s="720"/>
      <c r="R113" s="720"/>
      <c r="S113" s="720"/>
      <c r="T113" s="721"/>
      <c r="U113" s="71"/>
      <c r="V113" s="464"/>
      <c r="W113" s="609"/>
      <c r="X113" s="522"/>
      <c r="Y113" s="522"/>
      <c r="Z113" s="522"/>
      <c r="AA113" s="522"/>
      <c r="AB113" s="522"/>
    </row>
    <row r="114" spans="1:28" ht="91.7" customHeight="1" x14ac:dyDescent="0.25">
      <c r="A114" s="646" t="s">
        <v>727</v>
      </c>
      <c r="B114" s="7">
        <f>IF(  AND(ISNUMBER(C114),OR(ISNUMBER(D114),D114="PG")),IF(IF(Capa!$B$6="B",0,Capa!$B$6)&gt;=C114,1,0),"")</f>
        <v>1</v>
      </c>
      <c r="C114" s="6">
        <f t="shared" si="9"/>
        <v>0</v>
      </c>
      <c r="D114" s="647">
        <v>479</v>
      </c>
      <c r="E114" s="352" t="s">
        <v>732</v>
      </c>
      <c r="F114" s="513"/>
      <c r="G114" s="468"/>
      <c r="H114" s="241"/>
      <c r="I114" s="29"/>
      <c r="J114" s="425">
        <f t="shared" si="14"/>
        <v>0</v>
      </c>
      <c r="K114" s="471"/>
      <c r="L114" s="697" t="str">
        <f t="shared" si="15"/>
        <v/>
      </c>
      <c r="M114" s="719"/>
      <c r="N114" s="720"/>
      <c r="O114" s="720"/>
      <c r="P114" s="720"/>
      <c r="Q114" s="720"/>
      <c r="R114" s="720"/>
      <c r="S114" s="720"/>
      <c r="T114" s="721"/>
      <c r="U114" s="71"/>
      <c r="V114" s="464"/>
      <c r="W114" s="609"/>
      <c r="X114" s="522"/>
      <c r="Y114" s="522"/>
      <c r="Z114" s="522"/>
      <c r="AA114" s="522"/>
      <c r="AB114" s="522"/>
    </row>
    <row r="115" spans="1:28" ht="60" x14ac:dyDescent="0.25">
      <c r="A115" s="646" t="s">
        <v>727</v>
      </c>
      <c r="B115" s="7">
        <f>IF(  AND(ISNUMBER(C115),OR(ISNUMBER(D115),D115="PG")),IF(IF(Capa!$B$6="B",0,Capa!$B$6)&gt;=C115,1,0),"")</f>
        <v>1</v>
      </c>
      <c r="C115" s="6">
        <f t="shared" si="9"/>
        <v>0</v>
      </c>
      <c r="D115" s="647">
        <v>480</v>
      </c>
      <c r="E115" s="352" t="s">
        <v>733</v>
      </c>
      <c r="F115" s="513"/>
      <c r="G115" s="468"/>
      <c r="H115" s="241"/>
      <c r="I115" s="29"/>
      <c r="J115" s="425">
        <f t="shared" si="14"/>
        <v>0</v>
      </c>
      <c r="K115" s="471"/>
      <c r="L115" s="697" t="str">
        <f t="shared" si="15"/>
        <v/>
      </c>
      <c r="M115" s="719"/>
      <c r="N115" s="720"/>
      <c r="O115" s="720"/>
      <c r="P115" s="720"/>
      <c r="Q115" s="720"/>
      <c r="R115" s="720"/>
      <c r="S115" s="720"/>
      <c r="T115" s="721"/>
      <c r="U115" s="71"/>
      <c r="V115" s="464"/>
      <c r="W115" s="609"/>
      <c r="X115" s="522"/>
      <c r="Y115" s="522"/>
      <c r="Z115" s="522"/>
      <c r="AA115" s="522"/>
      <c r="AB115" s="522"/>
    </row>
    <row r="116" spans="1:28" ht="8.4499999999999993" customHeight="1" x14ac:dyDescent="0.25">
      <c r="A116" s="646" t="s">
        <v>727</v>
      </c>
      <c r="B116" s="7" t="str">
        <f>IF(  AND(ISNUMBER(C116),OR(ISNUMBER(D116),D116="PG")),IF(IF(Capa!$B$6="B",0,Capa!$B$6)&gt;=C116,1,0),"")</f>
        <v/>
      </c>
      <c r="C116" s="6">
        <f t="shared" si="9"/>
        <v>1</v>
      </c>
      <c r="D116" s="647" t="s">
        <v>62</v>
      </c>
      <c r="E116" s="352"/>
      <c r="F116" s="513"/>
      <c r="G116" s="468"/>
      <c r="H116" s="241"/>
      <c r="I116" s="29"/>
      <c r="J116" s="425">
        <f t="shared" si="14"/>
        <v>0</v>
      </c>
      <c r="K116" s="471"/>
      <c r="L116" s="697" t="str">
        <f t="shared" si="15"/>
        <v/>
      </c>
      <c r="M116" s="719"/>
      <c r="N116" s="720"/>
      <c r="O116" s="720"/>
      <c r="P116" s="720"/>
      <c r="Q116" s="720"/>
      <c r="R116" s="720"/>
      <c r="S116" s="720"/>
      <c r="T116" s="721"/>
      <c r="U116" s="71"/>
      <c r="V116" s="464"/>
      <c r="W116" s="609"/>
      <c r="X116" s="522"/>
      <c r="Y116" s="522"/>
      <c r="Z116" s="522"/>
      <c r="AA116" s="522"/>
      <c r="AB116" s="522"/>
    </row>
    <row r="117" spans="1:28" ht="47.45" customHeight="1" x14ac:dyDescent="0.25">
      <c r="A117" s="646" t="s">
        <v>727</v>
      </c>
      <c r="B117" s="7">
        <f>IF(  AND(ISNUMBER(C117),OR(ISNUMBER(D117),D117="PG")),IF(IF(Capa!$B$6="B",0,Capa!$B$6)&gt;=C117,1,0),"")</f>
        <v>0</v>
      </c>
      <c r="C117" s="6">
        <f t="shared" si="9"/>
        <v>1</v>
      </c>
      <c r="D117" s="647">
        <v>481</v>
      </c>
      <c r="E117" s="352" t="s">
        <v>734</v>
      </c>
      <c r="F117" s="513"/>
      <c r="G117" s="468"/>
      <c r="H117" s="241"/>
      <c r="I117" s="29"/>
      <c r="J117" s="425">
        <f t="shared" si="14"/>
        <v>0</v>
      </c>
      <c r="K117" s="471"/>
      <c r="L117" s="697" t="str">
        <f t="shared" si="15"/>
        <v/>
      </c>
      <c r="M117" s="719"/>
      <c r="N117" s="720"/>
      <c r="O117" s="720"/>
      <c r="P117" s="720"/>
      <c r="Q117" s="720"/>
      <c r="R117" s="720"/>
      <c r="S117" s="720"/>
      <c r="T117" s="721"/>
      <c r="U117" s="71"/>
      <c r="V117" s="464"/>
      <c r="W117" s="609"/>
      <c r="X117" s="522"/>
      <c r="Y117" s="522"/>
      <c r="Z117" s="522"/>
      <c r="AA117" s="522"/>
      <c r="AB117" s="522"/>
    </row>
    <row r="118" spans="1:28" ht="49.35" customHeight="1" x14ac:dyDescent="0.25">
      <c r="A118" s="646" t="s">
        <v>727</v>
      </c>
      <c r="B118" s="7">
        <f>IF(  AND(ISNUMBER(C118),OR(ISNUMBER(D118),D118="PG")),IF(IF(Capa!$B$6="B",0,Capa!$B$6)&gt;=C118,1,0),"")</f>
        <v>0</v>
      </c>
      <c r="C118" s="6">
        <f t="shared" si="9"/>
        <v>1</v>
      </c>
      <c r="D118" s="647">
        <v>482</v>
      </c>
      <c r="E118" s="352" t="s">
        <v>735</v>
      </c>
      <c r="F118" s="513"/>
      <c r="G118" s="468"/>
      <c r="H118" s="241"/>
      <c r="I118" s="29"/>
      <c r="J118" s="425">
        <f t="shared" si="14"/>
        <v>0</v>
      </c>
      <c r="K118" s="471"/>
      <c r="L118" s="697" t="str">
        <f t="shared" si="15"/>
        <v/>
      </c>
      <c r="M118" s="719"/>
      <c r="N118" s="720"/>
      <c r="O118" s="720"/>
      <c r="P118" s="720"/>
      <c r="Q118" s="720"/>
      <c r="R118" s="720"/>
      <c r="S118" s="720"/>
      <c r="T118" s="721"/>
      <c r="U118" s="71"/>
      <c r="V118" s="464"/>
      <c r="W118" s="609"/>
      <c r="X118" s="522"/>
      <c r="Y118" s="522"/>
      <c r="Z118" s="522"/>
      <c r="AA118" s="522"/>
      <c r="AB118" s="522"/>
    </row>
    <row r="119" spans="1:28" ht="47.45" customHeight="1" x14ac:dyDescent="0.25">
      <c r="A119" s="646" t="s">
        <v>727</v>
      </c>
      <c r="B119" s="7">
        <f>IF(  AND(ISNUMBER(C119),OR(ISNUMBER(D119),D119="PG")),IF(IF(Capa!$B$6="B",0,Capa!$B$6)&gt;=C119,1,0),"")</f>
        <v>0</v>
      </c>
      <c r="C119" s="6">
        <f t="shared" si="9"/>
        <v>1</v>
      </c>
      <c r="D119" s="647">
        <v>483</v>
      </c>
      <c r="E119" s="352" t="s">
        <v>736</v>
      </c>
      <c r="F119" s="513"/>
      <c r="G119" s="468"/>
      <c r="H119" s="241"/>
      <c r="I119" s="29"/>
      <c r="J119" s="425">
        <f t="shared" si="14"/>
        <v>0</v>
      </c>
      <c r="K119" s="471"/>
      <c r="L119" s="697" t="str">
        <f t="shared" si="15"/>
        <v/>
      </c>
      <c r="M119" s="719"/>
      <c r="N119" s="720"/>
      <c r="O119" s="720"/>
      <c r="P119" s="720"/>
      <c r="Q119" s="720"/>
      <c r="R119" s="720"/>
      <c r="S119" s="720"/>
      <c r="T119" s="721"/>
      <c r="U119" s="71"/>
      <c r="V119" s="464"/>
      <c r="W119" s="609"/>
      <c r="X119" s="522"/>
      <c r="Y119" s="522"/>
      <c r="Z119" s="522"/>
      <c r="AA119" s="522"/>
      <c r="AB119" s="522"/>
    </row>
    <row r="120" spans="1:28" ht="7.35" customHeight="1" x14ac:dyDescent="0.25">
      <c r="A120" s="646" t="s">
        <v>727</v>
      </c>
      <c r="B120" s="7" t="str">
        <f>IF(  AND(ISNUMBER(C120),OR(ISNUMBER(D120),D120="PG")),IF(IF(Capa!$B$6="B",0,Capa!$B$6)&gt;=C120,1,0),"")</f>
        <v/>
      </c>
      <c r="C120" s="6">
        <f t="shared" si="9"/>
        <v>2</v>
      </c>
      <c r="D120" s="647" t="s">
        <v>64</v>
      </c>
      <c r="E120" s="352"/>
      <c r="F120" s="513"/>
      <c r="G120" s="468"/>
      <c r="H120" s="241"/>
      <c r="I120" s="29"/>
      <c r="J120" s="425">
        <f t="shared" si="14"/>
        <v>0</v>
      </c>
      <c r="K120" s="471"/>
      <c r="L120" s="697" t="str">
        <f t="shared" si="15"/>
        <v/>
      </c>
      <c r="M120" s="719"/>
      <c r="N120" s="720"/>
      <c r="O120" s="720"/>
      <c r="P120" s="720"/>
      <c r="Q120" s="720"/>
      <c r="R120" s="720"/>
      <c r="S120" s="720"/>
      <c r="T120" s="721"/>
      <c r="U120" s="71"/>
      <c r="V120" s="464"/>
      <c r="W120" s="609"/>
      <c r="X120" s="522"/>
      <c r="Y120" s="522"/>
      <c r="Z120" s="522"/>
      <c r="AA120" s="522"/>
      <c r="AB120" s="522"/>
    </row>
    <row r="121" spans="1:28" ht="46.7" customHeight="1" x14ac:dyDescent="0.25">
      <c r="A121" s="646" t="s">
        <v>727</v>
      </c>
      <c r="B121" s="7">
        <f>IF(  AND(ISNUMBER(C121),OR(ISNUMBER(D121),D121="PG")),IF(IF(Capa!$B$6="B",0,Capa!$B$6)&gt;=C121,1,0),"")</f>
        <v>0</v>
      </c>
      <c r="C121" s="6">
        <f t="shared" si="9"/>
        <v>2</v>
      </c>
      <c r="D121" s="647">
        <v>484</v>
      </c>
      <c r="E121" s="352" t="s">
        <v>737</v>
      </c>
      <c r="F121" s="513"/>
      <c r="G121" s="468"/>
      <c r="H121" s="241"/>
      <c r="I121" s="29"/>
      <c r="J121" s="425">
        <f t="shared" si="14"/>
        <v>0</v>
      </c>
      <c r="K121" s="471"/>
      <c r="L121" s="697" t="str">
        <f t="shared" si="15"/>
        <v/>
      </c>
      <c r="M121" s="719"/>
      <c r="N121" s="720"/>
      <c r="O121" s="720"/>
      <c r="P121" s="720"/>
      <c r="Q121" s="720"/>
      <c r="R121" s="720"/>
      <c r="S121" s="720"/>
      <c r="T121" s="721"/>
      <c r="U121" s="71"/>
      <c r="V121" s="464"/>
      <c r="W121" s="609"/>
      <c r="X121" s="522"/>
      <c r="Y121" s="522"/>
      <c r="Z121" s="522"/>
      <c r="AA121" s="522"/>
      <c r="AB121" s="522"/>
    </row>
    <row r="122" spans="1:28" ht="60" x14ac:dyDescent="0.25">
      <c r="A122" s="646" t="s">
        <v>727</v>
      </c>
      <c r="B122" s="7">
        <f>IF(  AND(ISNUMBER(C122),OR(ISNUMBER(D122),D122="PG")),IF(IF(Capa!$B$6="B",0,Capa!$B$6)&gt;=C122,1,0),"")</f>
        <v>0</v>
      </c>
      <c r="C122" s="6">
        <f t="shared" si="9"/>
        <v>2</v>
      </c>
      <c r="D122" s="647">
        <v>485</v>
      </c>
      <c r="E122" s="352" t="s">
        <v>738</v>
      </c>
      <c r="F122" s="513"/>
      <c r="G122" s="468"/>
      <c r="H122" s="241"/>
      <c r="I122" s="29"/>
      <c r="J122" s="425">
        <f t="shared" si="14"/>
        <v>0</v>
      </c>
      <c r="K122" s="471"/>
      <c r="L122" s="697" t="str">
        <f t="shared" si="15"/>
        <v/>
      </c>
      <c r="M122" s="719"/>
      <c r="N122" s="720"/>
      <c r="O122" s="720"/>
      <c r="P122" s="720"/>
      <c r="Q122" s="720"/>
      <c r="R122" s="720"/>
      <c r="S122" s="720"/>
      <c r="T122" s="721"/>
      <c r="U122" s="71"/>
      <c r="V122" s="464"/>
      <c r="W122" s="609"/>
      <c r="X122" s="522"/>
      <c r="Y122" s="522"/>
      <c r="Z122" s="522"/>
      <c r="AA122" s="522"/>
      <c r="AB122" s="522"/>
    </row>
    <row r="123" spans="1:28" ht="30" x14ac:dyDescent="0.25">
      <c r="A123" s="646" t="s">
        <v>727</v>
      </c>
      <c r="B123" s="7">
        <f>IF(  AND(ISNUMBER(C123),OR(ISNUMBER(D123),D123="PG")),IF(IF(Capa!$B$6="B",0,Capa!$B$6)&gt;=C123,1,0),"")</f>
        <v>0</v>
      </c>
      <c r="C123" s="6">
        <f t="shared" si="9"/>
        <v>2</v>
      </c>
      <c r="D123" s="647">
        <v>486</v>
      </c>
      <c r="E123" s="352" t="s">
        <v>739</v>
      </c>
      <c r="F123" s="513"/>
      <c r="G123" s="468"/>
      <c r="H123" s="241"/>
      <c r="I123" s="29"/>
      <c r="J123" s="425">
        <f t="shared" si="14"/>
        <v>0</v>
      </c>
      <c r="K123" s="471"/>
      <c r="L123" s="697" t="str">
        <f t="shared" si="15"/>
        <v/>
      </c>
      <c r="M123" s="719"/>
      <c r="N123" s="720"/>
      <c r="O123" s="720"/>
      <c r="P123" s="720"/>
      <c r="Q123" s="720"/>
      <c r="R123" s="720"/>
      <c r="S123" s="720"/>
      <c r="T123" s="721"/>
      <c r="U123" s="71"/>
      <c r="V123" s="464"/>
      <c r="W123" s="609"/>
      <c r="X123" s="522"/>
      <c r="Y123" s="522"/>
      <c r="Z123" s="522"/>
      <c r="AA123" s="522"/>
      <c r="AB123" s="522"/>
    </row>
    <row r="124" spans="1:28" ht="30" x14ac:dyDescent="0.25">
      <c r="A124" s="646" t="s">
        <v>727</v>
      </c>
      <c r="B124" s="7">
        <f>IF(  AND(ISNUMBER(C124),OR(ISNUMBER(D124),D124="PG")),IF(IF(Capa!$B$6="B",0,Capa!$B$6)&gt;=C124,1,0),"")</f>
        <v>0</v>
      </c>
      <c r="C124" s="6">
        <f t="shared" si="9"/>
        <v>2</v>
      </c>
      <c r="D124" s="647">
        <v>487</v>
      </c>
      <c r="E124" s="352" t="s">
        <v>740</v>
      </c>
      <c r="F124" s="513"/>
      <c r="G124" s="468"/>
      <c r="H124" s="241"/>
      <c r="I124" s="29"/>
      <c r="J124" s="425">
        <f t="shared" si="14"/>
        <v>0</v>
      </c>
      <c r="K124" s="471"/>
      <c r="L124" s="697" t="str">
        <f t="shared" si="15"/>
        <v/>
      </c>
      <c r="M124" s="719"/>
      <c r="N124" s="720"/>
      <c r="O124" s="720"/>
      <c r="P124" s="720"/>
      <c r="Q124" s="720"/>
      <c r="R124" s="720"/>
      <c r="S124" s="720"/>
      <c r="T124" s="721"/>
      <c r="U124" s="71"/>
      <c r="V124" s="464"/>
      <c r="W124" s="609"/>
      <c r="X124" s="522"/>
      <c r="Y124" s="522"/>
      <c r="Z124" s="522"/>
      <c r="AA124" s="522"/>
      <c r="AB124" s="522"/>
    </row>
    <row r="125" spans="1:28" ht="7.7" customHeight="1" x14ac:dyDescent="0.25">
      <c r="A125" s="646" t="s">
        <v>727</v>
      </c>
      <c r="B125" s="7" t="str">
        <f>IF(  AND(ISNUMBER(C125),OR(ISNUMBER(D125),D125="PG")),IF(IF(Capa!$B$6="B",0,Capa!$B$6)&gt;=C125,1,0),"")</f>
        <v/>
      </c>
      <c r="C125" s="6">
        <f t="shared" si="9"/>
        <v>3</v>
      </c>
      <c r="D125" s="647" t="s">
        <v>70</v>
      </c>
      <c r="E125" s="352"/>
      <c r="F125" s="513"/>
      <c r="G125" s="468"/>
      <c r="H125" s="241"/>
      <c r="I125" s="29"/>
      <c r="J125" s="425">
        <f t="shared" si="14"/>
        <v>0</v>
      </c>
      <c r="K125" s="471"/>
      <c r="L125" s="697" t="str">
        <f t="shared" si="15"/>
        <v/>
      </c>
      <c r="M125" s="719"/>
      <c r="N125" s="720"/>
      <c r="O125" s="720"/>
      <c r="P125" s="720"/>
      <c r="Q125" s="720"/>
      <c r="R125" s="720"/>
      <c r="S125" s="720"/>
      <c r="T125" s="721"/>
      <c r="U125" s="71"/>
      <c r="V125" s="464"/>
      <c r="W125" s="609"/>
      <c r="X125" s="522"/>
      <c r="Y125" s="522"/>
      <c r="Z125" s="522"/>
      <c r="AA125" s="522"/>
      <c r="AB125" s="522"/>
    </row>
    <row r="126" spans="1:28" ht="60" customHeight="1" x14ac:dyDescent="0.25">
      <c r="A126" s="646" t="s">
        <v>727</v>
      </c>
      <c r="B126" s="7">
        <f>IF(  AND(ISNUMBER(C126),OR(ISNUMBER(D126),D126="PG")),IF(IF(Capa!$B$6="B",0,Capa!$B$6)&gt;=C126,1,0),"")</f>
        <v>0</v>
      </c>
      <c r="C126" s="6">
        <f t="shared" si="9"/>
        <v>3</v>
      </c>
      <c r="D126" s="647">
        <v>488</v>
      </c>
      <c r="E126" s="352" t="s">
        <v>741</v>
      </c>
      <c r="F126" s="513"/>
      <c r="G126" s="468"/>
      <c r="H126" s="241"/>
      <c r="I126" s="29"/>
      <c r="J126" s="425">
        <f t="shared" si="14"/>
        <v>0</v>
      </c>
      <c r="K126" s="471"/>
      <c r="L126" s="697" t="str">
        <f t="shared" si="15"/>
        <v/>
      </c>
      <c r="M126" s="719"/>
      <c r="N126" s="720"/>
      <c r="O126" s="720"/>
      <c r="P126" s="720"/>
      <c r="Q126" s="720"/>
      <c r="R126" s="720"/>
      <c r="S126" s="720"/>
      <c r="T126" s="721"/>
      <c r="U126" s="71"/>
      <c r="V126" s="464"/>
      <c r="W126" s="609"/>
      <c r="X126" s="522"/>
      <c r="Y126" s="522"/>
      <c r="Z126" s="522"/>
      <c r="AA126" s="522"/>
      <c r="AB126" s="522"/>
    </row>
    <row r="127" spans="1:28" ht="60" x14ac:dyDescent="0.25">
      <c r="A127" s="646" t="s">
        <v>727</v>
      </c>
      <c r="B127" s="7">
        <f>IF(  AND(ISNUMBER(C127),OR(ISNUMBER(D127),D127="PG")),IF(IF(Capa!$B$6="B",0,Capa!$B$6)&gt;=C127,1,0),"")</f>
        <v>0</v>
      </c>
      <c r="C127" s="6">
        <f t="shared" si="9"/>
        <v>3</v>
      </c>
      <c r="D127" s="647">
        <v>489</v>
      </c>
      <c r="E127" s="352" t="s">
        <v>742</v>
      </c>
      <c r="F127" s="513"/>
      <c r="G127" s="468"/>
      <c r="H127" s="241"/>
      <c r="I127" s="29"/>
      <c r="J127" s="425">
        <f t="shared" si="14"/>
        <v>0</v>
      </c>
      <c r="K127" s="471"/>
      <c r="L127" s="697" t="str">
        <f t="shared" si="15"/>
        <v/>
      </c>
      <c r="M127" s="719"/>
      <c r="N127" s="720"/>
      <c r="O127" s="720"/>
      <c r="P127" s="720"/>
      <c r="Q127" s="720"/>
      <c r="R127" s="720"/>
      <c r="S127" s="720"/>
      <c r="T127" s="721"/>
      <c r="U127" s="71"/>
      <c r="V127" s="464"/>
      <c r="W127" s="609"/>
      <c r="X127" s="522"/>
      <c r="Y127" s="522"/>
      <c r="Z127" s="522"/>
      <c r="AA127" s="522"/>
      <c r="AB127" s="522"/>
    </row>
    <row r="128" spans="1:28" ht="32.450000000000003" customHeight="1" x14ac:dyDescent="0.25">
      <c r="A128" s="646" t="s">
        <v>727</v>
      </c>
      <c r="B128" s="7">
        <f>IF(  AND(ISNUMBER(C128),OR(ISNUMBER(D128),D128="PG")),IF(IF(Capa!$B$6="B",0,Capa!$B$6)&gt;=C128,1,0),"")</f>
        <v>0</v>
      </c>
      <c r="C128" s="6">
        <f t="shared" si="9"/>
        <v>3</v>
      </c>
      <c r="D128" s="647">
        <v>490</v>
      </c>
      <c r="E128" s="352" t="s">
        <v>743</v>
      </c>
      <c r="F128" s="513"/>
      <c r="G128" s="468"/>
      <c r="H128" s="241"/>
      <c r="I128" s="29"/>
      <c r="J128" s="425">
        <f t="shared" si="14"/>
        <v>0</v>
      </c>
      <c r="K128" s="471"/>
      <c r="L128" s="697" t="str">
        <f t="shared" si="15"/>
        <v/>
      </c>
      <c r="M128" s="719"/>
      <c r="N128" s="720"/>
      <c r="O128" s="720"/>
      <c r="P128" s="720"/>
      <c r="Q128" s="720"/>
      <c r="R128" s="720"/>
      <c r="S128" s="720"/>
      <c r="T128" s="721"/>
      <c r="U128" s="71"/>
      <c r="V128" s="464"/>
      <c r="W128" s="609"/>
      <c r="X128" s="522"/>
      <c r="Y128" s="522"/>
      <c r="Z128" s="522"/>
      <c r="AA128" s="522"/>
      <c r="AB128" s="522"/>
    </row>
    <row r="129" spans="1:28" ht="11.1" customHeight="1" x14ac:dyDescent="0.25">
      <c r="B129" s="7" t="str">
        <f>IF(  AND(ISNUMBER(C129),OR(ISNUMBER(D129),D129="PG")),IF(IF(Capa!$B$6="B",0,Capa!$B$6)&gt;=C129,1,0),"")</f>
        <v/>
      </c>
      <c r="C129" s="6" t="str">
        <f t="shared" si="9"/>
        <v/>
      </c>
      <c r="D129" s="122"/>
      <c r="E129" s="299"/>
      <c r="F129" s="123"/>
      <c r="G129" s="227"/>
      <c r="H129" s="227"/>
      <c r="I129" s="123"/>
      <c r="J129" s="227"/>
      <c r="K129" s="694"/>
      <c r="L129" s="219"/>
      <c r="M129" s="124"/>
      <c r="N129" s="124"/>
      <c r="O129" s="124"/>
      <c r="P129" s="124"/>
      <c r="Q129" s="124"/>
      <c r="R129" s="124"/>
      <c r="S129" s="251"/>
      <c r="T129" s="251"/>
      <c r="U129" s="260"/>
      <c r="V129" s="556"/>
      <c r="W129" s="138"/>
      <c r="X129" s="522"/>
      <c r="Y129" s="522"/>
      <c r="Z129" s="522"/>
      <c r="AA129" s="522"/>
      <c r="AB129" s="522"/>
    </row>
    <row r="130" spans="1:28" x14ac:dyDescent="0.25">
      <c r="A130" s="210" t="s">
        <v>744</v>
      </c>
      <c r="B130" s="7" t="str">
        <f>IF(  AND(ISNUMBER(C130),OR(ISNUMBER(D130),D130="PG")),IF(IF(Capa!$B$6="B",0,Capa!$B$6)&gt;=C130,1,0),"")</f>
        <v/>
      </c>
      <c r="C130" s="6" t="str">
        <f t="shared" si="9"/>
        <v/>
      </c>
      <c r="D130" s="15"/>
      <c r="E130" s="395" t="s">
        <v>745</v>
      </c>
      <c r="F130" s="517"/>
      <c r="G130" s="550"/>
      <c r="H130" s="219"/>
      <c r="I130" s="23"/>
      <c r="J130" s="219"/>
      <c r="K130" s="528"/>
      <c r="L130" s="383">
        <f>IF(AND($B132=1,D132="PG"),IF(COUNTIFS($A$1:$A$236,"="&amp;$A130,$B$1:$B$236,"&gt;0",$D$1:$D$236,"&gt;0")&gt;0,
        (COUNTIFS($A$1:$A$236,"="&amp;$A130,$B$1:$B$236,"&gt;0",$D$1:$D$236,"&gt;0",F$1:F$236,"=S",I$1:I$236,"") +
         (COUNTIFS($A$1:$A$236,"="&amp;$A130,$B$1:$B$236,"&gt;0",$D$1:$D$236,"&gt;0",$F$1:$F$236,"=P",I$1:I$236,"")/2) +
         COUNTIFS($A$1:$A$236,"="&amp;$A130,$B$1:$B$236,"&gt;0",$D$1:$D$236,"&gt;0",I$1:I$236,"=S") +
         (COUNTIFS($A$1:$A$236,"="&amp;$A130,$B$1:$B$236,"&gt;0",$D$1:$D$236,"&gt;0",I$1:I$236,"=P")/2)
         )/COUNTIFS($A$1:$A$236,"="&amp;$A130,$B$1:$B$236,"&gt;0",$D$1:$D$236,"&gt;0"),1),"")</f>
        <v>0</v>
      </c>
      <c r="M130" s="380"/>
      <c r="N130" s="70"/>
      <c r="O130" s="68"/>
      <c r="P130" s="68"/>
      <c r="Q130" s="83">
        <f>IF(L130="","",MIN(IF(ISBLANK(Q132),0,Q132),IF(L130&gt;0.9,4,IF(L130&gt;0.5,3,IF(L130&gt;0.3,2,IF(OR(L130&gt;0,Q132&gt;0),1,0))))))</f>
        <v>0</v>
      </c>
      <c r="R130" s="378"/>
      <c r="S130" s="379"/>
      <c r="T130" s="459"/>
      <c r="U130" s="459"/>
      <c r="V130" s="545"/>
      <c r="W130" s="604"/>
      <c r="X130" s="579"/>
      <c r="Y130" s="579"/>
      <c r="Z130" s="579"/>
      <c r="AA130" s="579"/>
      <c r="AB130" s="579"/>
    </row>
    <row r="131" spans="1:28" ht="7.35" customHeight="1" x14ac:dyDescent="0.25">
      <c r="A131" s="210" t="s">
        <v>744</v>
      </c>
      <c r="B131" s="7" t="str">
        <f>IF(  AND(ISNUMBER(C131),OR(ISNUMBER(D131),D131="PG")),IF(IF(Capa!$B$6="B",0,Capa!$B$6)&gt;=C131,1,0),"")</f>
        <v/>
      </c>
      <c r="C131" s="6">
        <f t="shared" si="9"/>
        <v>0</v>
      </c>
      <c r="D131" s="5" t="s">
        <v>53</v>
      </c>
      <c r="E131" s="391"/>
      <c r="F131" s="554"/>
      <c r="G131" s="561"/>
      <c r="H131" s="239"/>
      <c r="I131" s="26"/>
      <c r="J131" s="239"/>
      <c r="K131" s="563"/>
      <c r="L131" s="213"/>
      <c r="M131" s="82"/>
      <c r="N131" s="59"/>
      <c r="O131" s="59"/>
      <c r="P131" s="59"/>
      <c r="Q131" s="59"/>
      <c r="R131" s="59"/>
      <c r="S131" s="262"/>
      <c r="T131" s="262"/>
      <c r="U131" s="355"/>
      <c r="V131" s="465"/>
      <c r="W131" s="608"/>
      <c r="X131" s="522"/>
      <c r="Y131" s="522"/>
      <c r="Z131" s="522"/>
      <c r="AA131" s="522"/>
      <c r="AB131" s="522"/>
    </row>
    <row r="132" spans="1:28" ht="76.5" x14ac:dyDescent="0.25">
      <c r="A132" s="646" t="s">
        <v>744</v>
      </c>
      <c r="B132" s="7">
        <f>IF(  AND(ISNUMBER(C132),OR(ISNUMBER(D132),D132="PG")),IF(IF(Capa!$B$6="B",0,Capa!$B$6)&gt;=C132,1,0),"")</f>
        <v>1</v>
      </c>
      <c r="C132" s="6">
        <f t="shared" si="9"/>
        <v>0</v>
      </c>
      <c r="D132" s="647" t="s">
        <v>54</v>
      </c>
      <c r="E132" s="389" t="s">
        <v>746</v>
      </c>
      <c r="F132" s="513"/>
      <c r="G132" s="468"/>
      <c r="H132" s="241"/>
      <c r="I132" s="29"/>
      <c r="J132" s="239"/>
      <c r="K132" s="471"/>
      <c r="L132" s="697" t="str">
        <f>IF(OR(AND(NOT(ISBLANK(M132)),M132&lt;IF(Capa!$B$6&lt;&gt;"B",Capa!$B$6+1,1)),AND(NOT(ISBLANK(N132)),N132&lt;IF(Capa!$B$6&lt;&gt;"B",Capa!$B$6+1,1)),AND(NOT(ISBLANK(O132)),O132&lt;IF(Capa!$B$6&lt;&gt;"B",Capa!$B$6+1,1)),AND(NOT(ISBLANK(Q132)),Q132&lt;IF(Capa!$B$6&lt;&gt;"B",Capa!$B$6+1,1)),AND(NOT(ISBLANK(R132)),R132&lt;IF(Capa!$B$6&lt;&gt;"B",Capa!$B$6+1,1)),AND(NOT(ISBLANK(S132)),S132&lt;IF(Capa!$B$6&lt;&gt;"B",Capa!$B$6+1,1))),1,"")</f>
        <v/>
      </c>
      <c r="M132" s="81"/>
      <c r="N132" s="81"/>
      <c r="O132" s="81"/>
      <c r="P132" s="81"/>
      <c r="Q132" s="81"/>
      <c r="R132" s="81"/>
      <c r="S132" s="81"/>
      <c r="T132" s="81"/>
      <c r="U132" s="58"/>
      <c r="V132" s="464"/>
      <c r="W132" s="609"/>
      <c r="X132" s="666"/>
      <c r="Y132" s="522"/>
      <c r="Z132" s="522"/>
      <c r="AA132" s="522"/>
      <c r="AB132" s="522"/>
    </row>
    <row r="133" spans="1:28" ht="62.45" customHeight="1" x14ac:dyDescent="0.25">
      <c r="A133" s="646" t="s">
        <v>744</v>
      </c>
      <c r="B133" s="7">
        <f>IF(  AND(ISNUMBER(C133),OR(ISNUMBER(D133),D133="PG")),IF(IF(Capa!$B$6="B",0,Capa!$B$6)&gt;=C133,1,0),"")</f>
        <v>1</v>
      </c>
      <c r="C133" s="6">
        <f t="shared" ref="C133:C196" si="16">IF(ISBLANK(D133),"",IF(ISERR(SEARCH(D133&amp;"\","&lt;B&gt;\&lt;1&gt;\&lt;2&gt;\&lt;3&gt;\")),IF(AND(NOT(ISBLANK(C132)),C132&lt;=3),C132,""),
IF(SEARCH(D133&amp;"\","&lt;B&gt;\&lt;1&gt;\&lt;2&gt;\&lt;3&gt;\")=1,0,IF(SEARCH(D133&amp;"\","&lt;B&gt;\&lt;1&gt;\&lt;2&gt;\&lt;3&gt;\")=5,1,IF(SEARCH(D133&amp;"\","&lt;B&gt;\&lt;1&gt;\&lt;2&gt;\&lt;3&gt;\")=9,2,IF(SEARCH(D133&amp;"\","&lt;B&gt;\&lt;1&gt;\&lt;2&gt;\&lt;3&gt;\")=13,3,""))))))</f>
        <v>0</v>
      </c>
      <c r="D133" s="647">
        <v>491</v>
      </c>
      <c r="E133" s="352" t="s">
        <v>747</v>
      </c>
      <c r="F133" s="513"/>
      <c r="G133" s="468"/>
      <c r="H133" s="241"/>
      <c r="I133" s="29"/>
      <c r="J133" s="425">
        <f t="shared" ref="J133:J141" si="17">LEN(K133)</f>
        <v>0</v>
      </c>
      <c r="K133" s="471"/>
      <c r="L133" s="697" t="str">
        <f t="shared" ref="L133:L141" si="18">IF(OR(I133="N",I133="P"),1,"")</f>
        <v/>
      </c>
      <c r="M133" s="719"/>
      <c r="N133" s="720"/>
      <c r="O133" s="720"/>
      <c r="P133" s="720"/>
      <c r="Q133" s="720"/>
      <c r="R133" s="720"/>
      <c r="S133" s="720"/>
      <c r="T133" s="721"/>
      <c r="U133" s="71"/>
      <c r="V133" s="464"/>
      <c r="W133" s="609"/>
      <c r="X133" s="522"/>
      <c r="Y133" s="522"/>
      <c r="Z133" s="522"/>
      <c r="AA133" s="522"/>
      <c r="AB133" s="522"/>
    </row>
    <row r="134" spans="1:28" ht="45.6" customHeight="1" x14ac:dyDescent="0.25">
      <c r="A134" s="646" t="s">
        <v>744</v>
      </c>
      <c r="B134" s="7">
        <f>IF(  AND(ISNUMBER(C134),OR(ISNUMBER(D134),D134="PG")),IF(IF(Capa!$B$6="B",0,Capa!$B$6)&gt;=C134,1,0),"")</f>
        <v>1</v>
      </c>
      <c r="C134" s="6">
        <f t="shared" si="16"/>
        <v>0</v>
      </c>
      <c r="D134" s="647">
        <v>492</v>
      </c>
      <c r="E134" s="352" t="s">
        <v>748</v>
      </c>
      <c r="F134" s="513"/>
      <c r="G134" s="468"/>
      <c r="H134" s="241"/>
      <c r="I134" s="29"/>
      <c r="J134" s="425">
        <f t="shared" si="17"/>
        <v>0</v>
      </c>
      <c r="K134" s="471"/>
      <c r="L134" s="697" t="str">
        <f t="shared" si="18"/>
        <v/>
      </c>
      <c r="M134" s="719"/>
      <c r="N134" s="720"/>
      <c r="O134" s="720"/>
      <c r="P134" s="720"/>
      <c r="Q134" s="720"/>
      <c r="R134" s="720"/>
      <c r="S134" s="720"/>
      <c r="T134" s="721"/>
      <c r="U134" s="71"/>
      <c r="V134" s="464"/>
      <c r="W134" s="609"/>
      <c r="X134" s="522"/>
      <c r="Y134" s="522"/>
      <c r="Z134" s="522"/>
      <c r="AA134" s="522"/>
      <c r="AB134" s="522"/>
    </row>
    <row r="135" spans="1:28" ht="7.7" customHeight="1" x14ac:dyDescent="0.25">
      <c r="A135" s="646" t="s">
        <v>744</v>
      </c>
      <c r="B135" s="7" t="str">
        <f>IF(  AND(ISNUMBER(C135),OR(ISNUMBER(D135),D135="PG")),IF(IF(Capa!$B$6="B",0,Capa!$B$6)&gt;=C135,1,0),"")</f>
        <v/>
      </c>
      <c r="C135" s="6">
        <f t="shared" si="16"/>
        <v>1</v>
      </c>
      <c r="D135" s="647" t="s">
        <v>62</v>
      </c>
      <c r="E135" s="352"/>
      <c r="F135" s="513"/>
      <c r="G135" s="468"/>
      <c r="H135" s="241"/>
      <c r="I135" s="29"/>
      <c r="J135" s="425">
        <f t="shared" si="17"/>
        <v>0</v>
      </c>
      <c r="K135" s="471"/>
      <c r="L135" s="697" t="str">
        <f t="shared" si="18"/>
        <v/>
      </c>
      <c r="M135" s="719"/>
      <c r="N135" s="720"/>
      <c r="O135" s="720"/>
      <c r="P135" s="720"/>
      <c r="Q135" s="720"/>
      <c r="R135" s="720"/>
      <c r="S135" s="720"/>
      <c r="T135" s="721"/>
      <c r="U135" s="71"/>
      <c r="V135" s="464"/>
      <c r="W135" s="609"/>
      <c r="X135" s="522"/>
      <c r="Y135" s="522"/>
      <c r="Z135" s="522"/>
      <c r="AA135" s="522"/>
      <c r="AB135" s="522"/>
    </row>
    <row r="136" spans="1:28" ht="60" x14ac:dyDescent="0.25">
      <c r="A136" s="646" t="s">
        <v>744</v>
      </c>
      <c r="B136" s="7">
        <f>IF(  AND(ISNUMBER(C136),OR(ISNUMBER(D136),D136="PG")),IF(IF(Capa!$B$6="B",0,Capa!$B$6)&gt;=C136,1,0),"")</f>
        <v>0</v>
      </c>
      <c r="C136" s="6">
        <f t="shared" si="16"/>
        <v>1</v>
      </c>
      <c r="D136" s="647">
        <v>493</v>
      </c>
      <c r="E136" s="352" t="s">
        <v>749</v>
      </c>
      <c r="F136" s="513"/>
      <c r="G136" s="468"/>
      <c r="H136" s="241"/>
      <c r="I136" s="29"/>
      <c r="J136" s="425">
        <f t="shared" si="17"/>
        <v>0</v>
      </c>
      <c r="K136" s="471"/>
      <c r="L136" s="697" t="str">
        <f t="shared" si="18"/>
        <v/>
      </c>
      <c r="M136" s="719"/>
      <c r="N136" s="720"/>
      <c r="O136" s="720"/>
      <c r="P136" s="720"/>
      <c r="Q136" s="720"/>
      <c r="R136" s="720"/>
      <c r="S136" s="720"/>
      <c r="T136" s="721"/>
      <c r="U136" s="71"/>
      <c r="V136" s="464"/>
      <c r="W136" s="609"/>
      <c r="X136" s="522"/>
      <c r="Y136" s="522"/>
      <c r="Z136" s="522"/>
      <c r="AA136" s="522"/>
      <c r="AB136" s="522"/>
    </row>
    <row r="137" spans="1:28" ht="7.7" customHeight="1" x14ac:dyDescent="0.25">
      <c r="A137" s="646" t="s">
        <v>744</v>
      </c>
      <c r="B137" s="7" t="str">
        <f>IF(  AND(ISNUMBER(C137),OR(ISNUMBER(D137),D137="PG")),IF(IF(Capa!$B$6="B",0,Capa!$B$6)&gt;=C137,1,0),"")</f>
        <v/>
      </c>
      <c r="C137" s="6">
        <f t="shared" si="16"/>
        <v>2</v>
      </c>
      <c r="D137" s="647" t="s">
        <v>64</v>
      </c>
      <c r="E137" s="352"/>
      <c r="F137" s="513"/>
      <c r="G137" s="468"/>
      <c r="H137" s="241"/>
      <c r="I137" s="29"/>
      <c r="J137" s="425">
        <f t="shared" si="17"/>
        <v>0</v>
      </c>
      <c r="K137" s="471"/>
      <c r="L137" s="697" t="str">
        <f t="shared" si="18"/>
        <v/>
      </c>
      <c r="M137" s="719"/>
      <c r="N137" s="720"/>
      <c r="O137" s="720"/>
      <c r="P137" s="720"/>
      <c r="Q137" s="720"/>
      <c r="R137" s="720"/>
      <c r="S137" s="720"/>
      <c r="T137" s="721"/>
      <c r="U137" s="71"/>
      <c r="V137" s="464"/>
      <c r="W137" s="609"/>
      <c r="X137" s="522"/>
      <c r="Y137" s="522"/>
      <c r="Z137" s="522"/>
      <c r="AA137" s="522"/>
      <c r="AB137" s="522"/>
    </row>
    <row r="138" spans="1:28" ht="76.349999999999994" customHeight="1" x14ac:dyDescent="0.25">
      <c r="A138" s="646" t="s">
        <v>744</v>
      </c>
      <c r="B138" s="7">
        <f>IF(  AND(ISNUMBER(C138),OR(ISNUMBER(D138),D138="PG")),IF(IF(Capa!$B$6="B",0,Capa!$B$6)&gt;=C138,1,0),"")</f>
        <v>0</v>
      </c>
      <c r="C138" s="6">
        <f t="shared" si="16"/>
        <v>2</v>
      </c>
      <c r="D138" s="647">
        <v>494</v>
      </c>
      <c r="E138" s="352" t="s">
        <v>750</v>
      </c>
      <c r="F138" s="513"/>
      <c r="G138" s="468"/>
      <c r="H138" s="241"/>
      <c r="I138" s="29"/>
      <c r="J138" s="425">
        <f t="shared" si="17"/>
        <v>0</v>
      </c>
      <c r="K138" s="471"/>
      <c r="L138" s="697" t="str">
        <f t="shared" si="18"/>
        <v/>
      </c>
      <c r="M138" s="719"/>
      <c r="N138" s="720"/>
      <c r="O138" s="720"/>
      <c r="P138" s="720"/>
      <c r="Q138" s="720"/>
      <c r="R138" s="720"/>
      <c r="S138" s="720"/>
      <c r="T138" s="721"/>
      <c r="U138" s="71"/>
      <c r="V138" s="464"/>
      <c r="W138" s="609"/>
      <c r="X138" s="522"/>
      <c r="Y138" s="522"/>
      <c r="Z138" s="522"/>
      <c r="AA138" s="522"/>
      <c r="AB138" s="522"/>
    </row>
    <row r="139" spans="1:28" ht="60" x14ac:dyDescent="0.25">
      <c r="A139" s="646" t="s">
        <v>744</v>
      </c>
      <c r="B139" s="7">
        <f>IF(  AND(ISNUMBER(C139),OR(ISNUMBER(D139),D139="PG")),IF(IF(Capa!$B$6="B",0,Capa!$B$6)&gt;=C139,1,0),"")</f>
        <v>0</v>
      </c>
      <c r="C139" s="6">
        <f t="shared" si="16"/>
        <v>2</v>
      </c>
      <c r="D139" s="647">
        <v>495</v>
      </c>
      <c r="E139" s="352" t="s">
        <v>751</v>
      </c>
      <c r="F139" s="513"/>
      <c r="G139" s="468"/>
      <c r="H139" s="241"/>
      <c r="I139" s="29"/>
      <c r="J139" s="425">
        <f t="shared" si="17"/>
        <v>0</v>
      </c>
      <c r="K139" s="471"/>
      <c r="L139" s="697" t="str">
        <f t="shared" si="18"/>
        <v/>
      </c>
      <c r="M139" s="719"/>
      <c r="N139" s="720"/>
      <c r="O139" s="720"/>
      <c r="P139" s="720"/>
      <c r="Q139" s="720"/>
      <c r="R139" s="720"/>
      <c r="S139" s="720"/>
      <c r="T139" s="721"/>
      <c r="U139" s="71"/>
      <c r="V139" s="464"/>
      <c r="W139" s="609"/>
      <c r="X139" s="522"/>
      <c r="Y139" s="522"/>
      <c r="Z139" s="522"/>
      <c r="AA139" s="522"/>
      <c r="AB139" s="522"/>
    </row>
    <row r="140" spans="1:28" ht="5.45" customHeight="1" x14ac:dyDescent="0.25">
      <c r="A140" s="646" t="s">
        <v>744</v>
      </c>
      <c r="B140" s="7" t="str">
        <f>IF(  AND(ISNUMBER(C140),OR(ISNUMBER(D140),D140="PG")),IF(IF(Capa!$B$6="B",0,Capa!$B$6)&gt;=C140,1,0),"")</f>
        <v/>
      </c>
      <c r="C140" s="6">
        <f t="shared" si="16"/>
        <v>3</v>
      </c>
      <c r="D140" s="647" t="s">
        <v>70</v>
      </c>
      <c r="E140" s="352"/>
      <c r="F140" s="513"/>
      <c r="G140" s="468"/>
      <c r="H140" s="241"/>
      <c r="I140" s="29"/>
      <c r="J140" s="425">
        <f t="shared" si="17"/>
        <v>0</v>
      </c>
      <c r="K140" s="471"/>
      <c r="L140" s="697" t="str">
        <f t="shared" si="18"/>
        <v/>
      </c>
      <c r="M140" s="719"/>
      <c r="N140" s="720"/>
      <c r="O140" s="720"/>
      <c r="P140" s="720"/>
      <c r="Q140" s="720"/>
      <c r="R140" s="720"/>
      <c r="S140" s="720"/>
      <c r="T140" s="721"/>
      <c r="U140" s="71"/>
      <c r="V140" s="464"/>
      <c r="W140" s="609"/>
      <c r="X140" s="522"/>
      <c r="Y140" s="522"/>
      <c r="Z140" s="522"/>
      <c r="AA140" s="522"/>
      <c r="AB140" s="522"/>
    </row>
    <row r="141" spans="1:28" ht="60" x14ac:dyDescent="0.25">
      <c r="A141" s="646" t="s">
        <v>744</v>
      </c>
      <c r="B141" s="7">
        <f>IF(  AND(ISNUMBER(C141),OR(ISNUMBER(D141),D141="PG")),IF(IF(Capa!$B$6="B",0,Capa!$B$6)&gt;=C141,1,0),"")</f>
        <v>0</v>
      </c>
      <c r="C141" s="6">
        <f t="shared" si="16"/>
        <v>3</v>
      </c>
      <c r="D141" s="647">
        <v>496</v>
      </c>
      <c r="E141" s="352" t="s">
        <v>752</v>
      </c>
      <c r="F141" s="513"/>
      <c r="G141" s="468"/>
      <c r="H141" s="241"/>
      <c r="I141" s="29"/>
      <c r="J141" s="425">
        <f t="shared" si="17"/>
        <v>0</v>
      </c>
      <c r="K141" s="471"/>
      <c r="L141" s="697" t="str">
        <f t="shared" si="18"/>
        <v/>
      </c>
      <c r="M141" s="719"/>
      <c r="N141" s="720"/>
      <c r="O141" s="720"/>
      <c r="P141" s="720"/>
      <c r="Q141" s="720"/>
      <c r="R141" s="720"/>
      <c r="S141" s="720"/>
      <c r="T141" s="721"/>
      <c r="U141" s="71"/>
      <c r="V141" s="464"/>
      <c r="W141" s="609"/>
      <c r="X141" s="522"/>
      <c r="Y141" s="522"/>
      <c r="Z141" s="522"/>
      <c r="AA141" s="522"/>
      <c r="AB141" s="522"/>
    </row>
    <row r="142" spans="1:28" ht="11.1" customHeight="1" x14ac:dyDescent="0.25">
      <c r="B142" s="7" t="str">
        <f>IF(  AND(ISNUMBER(C142),OR(ISNUMBER(D142),D142="PG")),IF(IF(Capa!$B$6="B",0,Capa!$B$6)&gt;=C142,1,0),"")</f>
        <v/>
      </c>
      <c r="C142" s="6" t="str">
        <f t="shared" si="16"/>
        <v/>
      </c>
      <c r="D142" s="122"/>
      <c r="E142" s="299"/>
      <c r="F142" s="123"/>
      <c r="G142" s="227"/>
      <c r="H142" s="227"/>
      <c r="I142" s="123"/>
      <c r="J142" s="227"/>
      <c r="K142" s="694"/>
      <c r="L142" s="219"/>
      <c r="M142" s="124"/>
      <c r="N142" s="124"/>
      <c r="O142" s="124"/>
      <c r="P142" s="124"/>
      <c r="Q142" s="124"/>
      <c r="R142" s="124"/>
      <c r="S142" s="251"/>
      <c r="T142" s="251"/>
      <c r="U142" s="260"/>
      <c r="V142" s="556"/>
      <c r="W142" s="138"/>
      <c r="X142" s="522"/>
      <c r="Y142" s="522"/>
      <c r="Z142" s="522"/>
      <c r="AA142" s="522"/>
      <c r="AB142" s="522"/>
    </row>
    <row r="143" spans="1:28" x14ac:dyDescent="0.25">
      <c r="A143" s="210" t="s">
        <v>753</v>
      </c>
      <c r="B143" s="7" t="str">
        <f>IF(  AND(ISNUMBER(C143),OR(ISNUMBER(D143),D143="PG")),IF(IF(Capa!$B$6="B",0,Capa!$B$6)&gt;=C143,1,0),"")</f>
        <v/>
      </c>
      <c r="C143" s="6" t="str">
        <f t="shared" si="16"/>
        <v/>
      </c>
      <c r="D143" s="15"/>
      <c r="E143" s="395" t="s">
        <v>754</v>
      </c>
      <c r="F143" s="517"/>
      <c r="G143" s="550"/>
      <c r="H143" s="219"/>
      <c r="I143" s="23"/>
      <c r="J143" s="219"/>
      <c r="K143" s="528"/>
      <c r="L143" s="383" t="str">
        <f>IF(AND($B145=1,D145="PG"),IF(COUNTIFS($A$1:$A$236,"="&amp;$A143,$B$1:$B$236,"&gt;0",$D$1:$D$236,"&gt;0")&gt;0,
        (COUNTIFS($A$1:$A$236,"="&amp;$A143,$B$1:$B$236,"&gt;0",$D$1:$D$236,"&gt;0",F$1:F$236,"=S",I$1:I$236,"") +
         (COUNTIFS($A$1:$A$236,"="&amp;$A143,$B$1:$B$236,"&gt;0",$D$1:$D$236,"&gt;0",$F$1:$F$236,"=P",I$1:I$236,"")/2) +
         COUNTIFS($A$1:$A$236,"="&amp;$A143,$B$1:$B$236,"&gt;0",$D$1:$D$236,"&gt;0",I$1:I$236,"=S") +
         (COUNTIFS($A$1:$A$236,"="&amp;$A143,$B$1:$B$236,"&gt;0",$D$1:$D$236,"&gt;0",I$1:I$236,"=P")/2)
         )/COUNTIFS($A$1:$A$236,"="&amp;$A143,$B$1:$B$236,"&gt;0",$D$1:$D$236,"&gt;0"),1),"")</f>
        <v/>
      </c>
      <c r="M143" s="380"/>
      <c r="N143" s="70"/>
      <c r="O143" s="68"/>
      <c r="P143" s="68"/>
      <c r="Q143" s="83" t="str">
        <f>IF(L143="","",MIN(IF(ISBLANK(Q145),0,Q145),IF(L143&gt;0.9,4,IF(L143&gt;0.5,3,IF(L143&gt;0.3,2,IF(OR(L143&gt;0,Q145&gt;0),1,0))))))</f>
        <v/>
      </c>
      <c r="R143" s="378"/>
      <c r="S143" s="379"/>
      <c r="T143" s="459"/>
      <c r="U143" s="459"/>
      <c r="V143" s="545"/>
      <c r="W143" s="604"/>
      <c r="X143" s="579"/>
      <c r="Y143" s="579"/>
      <c r="Z143" s="579"/>
      <c r="AA143" s="579"/>
      <c r="AB143" s="579"/>
    </row>
    <row r="144" spans="1:28" ht="5.25" customHeight="1" x14ac:dyDescent="0.25">
      <c r="A144" s="210" t="s">
        <v>753</v>
      </c>
      <c r="B144" s="7" t="str">
        <f>IF(  AND(ISNUMBER(C144),OR(ISNUMBER(D144),D144="PG")),IF(IF(Capa!$B$6="B",0,Capa!$B$6)&gt;=C144,1,0),"")</f>
        <v/>
      </c>
      <c r="C144" s="6">
        <f t="shared" si="16"/>
        <v>1</v>
      </c>
      <c r="D144" s="5" t="s">
        <v>62</v>
      </c>
      <c r="E144" s="391"/>
      <c r="F144" s="554"/>
      <c r="G144" s="561"/>
      <c r="H144" s="239"/>
      <c r="I144" s="26"/>
      <c r="J144" s="239"/>
      <c r="K144" s="563"/>
      <c r="L144" s="213"/>
      <c r="M144" s="82"/>
      <c r="N144" s="59"/>
      <c r="O144" s="59"/>
      <c r="P144" s="59"/>
      <c r="Q144" s="59"/>
      <c r="R144" s="59"/>
      <c r="S144" s="262"/>
      <c r="T144" s="262"/>
      <c r="U144" s="355"/>
      <c r="V144" s="465"/>
      <c r="W144" s="608"/>
      <c r="X144" s="522"/>
      <c r="Y144" s="522"/>
      <c r="Z144" s="522"/>
      <c r="AA144" s="522"/>
      <c r="AB144" s="522"/>
    </row>
    <row r="145" spans="1:28" ht="90" x14ac:dyDescent="0.25">
      <c r="A145" s="646" t="s">
        <v>753</v>
      </c>
      <c r="B145" s="7">
        <f>IF(  AND(ISNUMBER(C145),OR(ISNUMBER(D145),D145="PG")),IF(IF(Capa!$B$6="B",0,Capa!$B$6)&gt;=C145,1,0),"")</f>
        <v>0</v>
      </c>
      <c r="C145" s="6">
        <f t="shared" si="16"/>
        <v>1</v>
      </c>
      <c r="D145" s="647" t="s">
        <v>54</v>
      </c>
      <c r="E145" s="415" t="s">
        <v>755</v>
      </c>
      <c r="F145" s="513"/>
      <c r="G145" s="468"/>
      <c r="H145" s="241"/>
      <c r="I145" s="29"/>
      <c r="J145" s="239"/>
      <c r="K145" s="471"/>
      <c r="L145" s="697" t="str">
        <f>IF(OR(AND(NOT(ISBLANK(M145)),M145&lt;IF(Capa!$B$6&lt;&gt;"B",Capa!$B$6+1,1)),AND(NOT(ISBLANK(N145)),N145&lt;IF(Capa!$B$6&lt;&gt;"B",Capa!$B$6+1,1)),AND(NOT(ISBLANK(O145)),O145&lt;IF(Capa!$B$6&lt;&gt;"B",Capa!$B$6+1,1)),AND(NOT(ISBLANK(Q145)),Q145&lt;IF(Capa!$B$6&lt;&gt;"B",Capa!$B$6+1,1)),AND(NOT(ISBLANK(R145)),R145&lt;IF(Capa!$B$6&lt;&gt;"B",Capa!$B$6+1,1)),AND(NOT(ISBLANK(S145)),S145&lt;IF(Capa!$B$6&lt;&gt;"B",Capa!$B$6+1,1))),1,"")</f>
        <v/>
      </c>
      <c r="M145" s="81"/>
      <c r="N145" s="81"/>
      <c r="O145" s="81"/>
      <c r="P145" s="81"/>
      <c r="Q145" s="81"/>
      <c r="R145" s="81"/>
      <c r="S145" s="81"/>
      <c r="T145" s="81"/>
      <c r="U145" s="58"/>
      <c r="V145" s="464"/>
      <c r="W145" s="609"/>
      <c r="X145" s="666"/>
      <c r="Y145" s="522"/>
      <c r="Z145" s="522"/>
      <c r="AA145" s="522"/>
      <c r="AB145" s="522"/>
    </row>
    <row r="146" spans="1:28" ht="45" x14ac:dyDescent="0.25">
      <c r="A146" s="646" t="s">
        <v>753</v>
      </c>
      <c r="B146" s="7">
        <f>IF(  AND(ISNUMBER(C146),OR(ISNUMBER(D146),D146="PG")),IF(IF(Capa!$B$6="B",0,Capa!$B$6)&gt;=C146,1,0),"")</f>
        <v>0</v>
      </c>
      <c r="C146" s="6">
        <f t="shared" si="16"/>
        <v>1</v>
      </c>
      <c r="D146" s="647">
        <v>497</v>
      </c>
      <c r="E146" s="352" t="s">
        <v>756</v>
      </c>
      <c r="F146" s="513"/>
      <c r="G146" s="468"/>
      <c r="H146" s="241"/>
      <c r="I146" s="29"/>
      <c r="J146" s="425">
        <f t="shared" ref="J146:J156" si="19">LEN(K146)</f>
        <v>0</v>
      </c>
      <c r="K146" s="471"/>
      <c r="L146" s="697" t="str">
        <f t="shared" ref="L146:L156" si="20">IF(OR(I146="N",I146="P"),1,"")</f>
        <v/>
      </c>
      <c r="M146" s="719"/>
      <c r="N146" s="720"/>
      <c r="O146" s="720"/>
      <c r="P146" s="720"/>
      <c r="Q146" s="720"/>
      <c r="R146" s="720"/>
      <c r="S146" s="720"/>
      <c r="T146" s="721"/>
      <c r="U146" s="71"/>
      <c r="V146" s="464"/>
      <c r="W146" s="609"/>
      <c r="X146" s="522"/>
      <c r="Y146" s="522"/>
      <c r="Z146" s="522"/>
      <c r="AA146" s="522"/>
      <c r="AB146" s="522"/>
    </row>
    <row r="147" spans="1:28" ht="45" x14ac:dyDescent="0.25">
      <c r="A147" s="646" t="s">
        <v>753</v>
      </c>
      <c r="B147" s="7">
        <f>IF(  AND(ISNUMBER(C147),OR(ISNUMBER(D147),D147="PG")),IF(IF(Capa!$B$6="B",0,Capa!$B$6)&gt;=C147,1,0),"")</f>
        <v>0</v>
      </c>
      <c r="C147" s="6">
        <f t="shared" si="16"/>
        <v>1</v>
      </c>
      <c r="D147" s="647">
        <v>498</v>
      </c>
      <c r="E147" s="398" t="s">
        <v>757</v>
      </c>
      <c r="F147" s="513"/>
      <c r="G147" s="468"/>
      <c r="H147" s="241"/>
      <c r="I147" s="29"/>
      <c r="J147" s="425">
        <f t="shared" si="19"/>
        <v>0</v>
      </c>
      <c r="K147" s="471"/>
      <c r="L147" s="697" t="str">
        <f t="shared" si="20"/>
        <v/>
      </c>
      <c r="M147" s="719"/>
      <c r="N147" s="720"/>
      <c r="O147" s="720"/>
      <c r="P147" s="720"/>
      <c r="Q147" s="720"/>
      <c r="R147" s="720"/>
      <c r="S147" s="720"/>
      <c r="T147" s="721"/>
      <c r="U147" s="71"/>
      <c r="V147" s="464"/>
      <c r="W147" s="609"/>
      <c r="X147" s="522"/>
      <c r="Y147" s="522"/>
      <c r="Z147" s="522"/>
      <c r="AA147" s="522"/>
      <c r="AB147" s="522"/>
    </row>
    <row r="148" spans="1:28" ht="75" x14ac:dyDescent="0.25">
      <c r="A148" s="646" t="s">
        <v>753</v>
      </c>
      <c r="B148" s="7">
        <f>IF(  AND(ISNUMBER(C148),OR(ISNUMBER(D148),D148="PG")),IF(IF(Capa!$B$6="B",0,Capa!$B$6)&gt;=C148,1,0),"")</f>
        <v>0</v>
      </c>
      <c r="C148" s="6">
        <f t="shared" si="16"/>
        <v>1</v>
      </c>
      <c r="D148" s="647">
        <v>499</v>
      </c>
      <c r="E148" s="352" t="s">
        <v>758</v>
      </c>
      <c r="F148" s="513"/>
      <c r="G148" s="468"/>
      <c r="H148" s="241"/>
      <c r="I148" s="29"/>
      <c r="J148" s="425">
        <f t="shared" si="19"/>
        <v>0</v>
      </c>
      <c r="K148" s="471"/>
      <c r="L148" s="697" t="str">
        <f t="shared" si="20"/>
        <v/>
      </c>
      <c r="M148" s="719"/>
      <c r="N148" s="720"/>
      <c r="O148" s="720"/>
      <c r="P148" s="720"/>
      <c r="Q148" s="720"/>
      <c r="R148" s="720"/>
      <c r="S148" s="720"/>
      <c r="T148" s="721"/>
      <c r="U148" s="71"/>
      <c r="V148" s="464"/>
      <c r="W148" s="609"/>
      <c r="X148" s="522"/>
      <c r="Y148" s="522"/>
      <c r="Z148" s="522"/>
      <c r="AA148" s="522"/>
      <c r="AB148" s="522"/>
    </row>
    <row r="149" spans="1:28" ht="9.6" customHeight="1" x14ac:dyDescent="0.25">
      <c r="A149" s="646" t="s">
        <v>753</v>
      </c>
      <c r="B149" s="7" t="str">
        <f>IF(  AND(ISNUMBER(C149),OR(ISNUMBER(D149),D149="PG")),IF(IF(Capa!$B$6="B",0,Capa!$B$6)&gt;=C149,1,0),"")</f>
        <v/>
      </c>
      <c r="C149" s="6">
        <f t="shared" si="16"/>
        <v>2</v>
      </c>
      <c r="D149" s="647" t="s">
        <v>64</v>
      </c>
      <c r="E149" s="352"/>
      <c r="F149" s="513"/>
      <c r="G149" s="468"/>
      <c r="H149" s="241"/>
      <c r="I149" s="29"/>
      <c r="J149" s="425">
        <f t="shared" si="19"/>
        <v>0</v>
      </c>
      <c r="K149" s="471"/>
      <c r="L149" s="697" t="str">
        <f t="shared" si="20"/>
        <v/>
      </c>
      <c r="M149" s="719"/>
      <c r="N149" s="720"/>
      <c r="O149" s="720"/>
      <c r="P149" s="720"/>
      <c r="Q149" s="720"/>
      <c r="R149" s="720"/>
      <c r="S149" s="720"/>
      <c r="T149" s="721"/>
      <c r="U149" s="71"/>
      <c r="V149" s="464"/>
      <c r="W149" s="609"/>
      <c r="X149" s="522"/>
      <c r="Y149" s="522"/>
      <c r="Z149" s="522"/>
      <c r="AA149" s="522"/>
      <c r="AB149" s="522"/>
    </row>
    <row r="150" spans="1:28" ht="63.6" customHeight="1" x14ac:dyDescent="0.25">
      <c r="A150" s="646" t="s">
        <v>753</v>
      </c>
      <c r="B150" s="7">
        <f>IF(  AND(ISNUMBER(C150),OR(ISNUMBER(D150),D150="PG")),IF(IF(Capa!$B$6="B",0,Capa!$B$6)&gt;=C150,1,0),"")</f>
        <v>0</v>
      </c>
      <c r="C150" s="6">
        <f t="shared" si="16"/>
        <v>2</v>
      </c>
      <c r="D150" s="647">
        <v>500</v>
      </c>
      <c r="E150" s="352" t="s">
        <v>759</v>
      </c>
      <c r="F150" s="513"/>
      <c r="G150" s="468"/>
      <c r="H150" s="241"/>
      <c r="I150" s="29"/>
      <c r="J150" s="425">
        <f t="shared" si="19"/>
        <v>0</v>
      </c>
      <c r="K150" s="471"/>
      <c r="L150" s="697" t="str">
        <f t="shared" si="20"/>
        <v/>
      </c>
      <c r="M150" s="719"/>
      <c r="N150" s="720"/>
      <c r="O150" s="720"/>
      <c r="P150" s="720"/>
      <c r="Q150" s="720"/>
      <c r="R150" s="720"/>
      <c r="S150" s="720"/>
      <c r="T150" s="721"/>
      <c r="U150" s="71"/>
      <c r="V150" s="464"/>
      <c r="W150" s="609"/>
      <c r="X150" s="522"/>
      <c r="Y150" s="522"/>
      <c r="Z150" s="522"/>
      <c r="AA150" s="522"/>
      <c r="AB150" s="522"/>
    </row>
    <row r="151" spans="1:28" ht="60" x14ac:dyDescent="0.25">
      <c r="A151" s="646" t="s">
        <v>753</v>
      </c>
      <c r="B151" s="7">
        <f>IF(  AND(ISNUMBER(C151),OR(ISNUMBER(D151),D151="PG")),IF(IF(Capa!$B$6="B",0,Capa!$B$6)&gt;=C151,1,0),"")</f>
        <v>0</v>
      </c>
      <c r="C151" s="6">
        <f t="shared" si="16"/>
        <v>2</v>
      </c>
      <c r="D151" s="647">
        <v>501</v>
      </c>
      <c r="E151" s="411" t="s">
        <v>760</v>
      </c>
      <c r="F151" s="513"/>
      <c r="G151" s="468"/>
      <c r="H151" s="241"/>
      <c r="I151" s="29"/>
      <c r="J151" s="425">
        <f t="shared" si="19"/>
        <v>0</v>
      </c>
      <c r="K151" s="471"/>
      <c r="L151" s="697" t="str">
        <f t="shared" si="20"/>
        <v/>
      </c>
      <c r="M151" s="719"/>
      <c r="N151" s="720"/>
      <c r="O151" s="720"/>
      <c r="P151" s="720"/>
      <c r="Q151" s="720"/>
      <c r="R151" s="720"/>
      <c r="S151" s="720"/>
      <c r="T151" s="721"/>
      <c r="U151" s="71"/>
      <c r="V151" s="464"/>
      <c r="W151" s="609"/>
      <c r="X151" s="522"/>
      <c r="Y151" s="522"/>
      <c r="Z151" s="522"/>
      <c r="AA151" s="522"/>
      <c r="AB151" s="522"/>
    </row>
    <row r="152" spans="1:28" ht="45" x14ac:dyDescent="0.25">
      <c r="A152" s="646" t="s">
        <v>753</v>
      </c>
      <c r="B152" s="7">
        <f>IF(  AND(ISNUMBER(C152),OR(ISNUMBER(D152),D152="PG")),IF(IF(Capa!$B$6="B",0,Capa!$B$6)&gt;=C152,1,0),"")</f>
        <v>0</v>
      </c>
      <c r="C152" s="6">
        <f t="shared" si="16"/>
        <v>2</v>
      </c>
      <c r="D152" s="647">
        <v>502</v>
      </c>
      <c r="E152" s="411" t="s">
        <v>761</v>
      </c>
      <c r="F152" s="513"/>
      <c r="G152" s="468"/>
      <c r="H152" s="241"/>
      <c r="I152" s="29"/>
      <c r="J152" s="425">
        <f t="shared" si="19"/>
        <v>0</v>
      </c>
      <c r="K152" s="471"/>
      <c r="L152" s="697" t="str">
        <f t="shared" si="20"/>
        <v/>
      </c>
      <c r="M152" s="719"/>
      <c r="N152" s="720"/>
      <c r="O152" s="720"/>
      <c r="P152" s="720"/>
      <c r="Q152" s="720"/>
      <c r="R152" s="720"/>
      <c r="S152" s="720"/>
      <c r="T152" s="721"/>
      <c r="U152" s="71"/>
      <c r="V152" s="464"/>
      <c r="W152" s="609"/>
      <c r="X152" s="522"/>
      <c r="Y152" s="522"/>
      <c r="Z152" s="522"/>
      <c r="AA152" s="522"/>
      <c r="AB152" s="522"/>
    </row>
    <row r="153" spans="1:28" ht="45" x14ac:dyDescent="0.25">
      <c r="A153" s="646" t="s">
        <v>753</v>
      </c>
      <c r="B153" s="7">
        <f>IF(  AND(ISNUMBER(C153),OR(ISNUMBER(D153),D153="PG")),IF(IF(Capa!$B$6="B",0,Capa!$B$6)&gt;=C153,1,0),"")</f>
        <v>0</v>
      </c>
      <c r="C153" s="6">
        <f t="shared" si="16"/>
        <v>2</v>
      </c>
      <c r="D153" s="647">
        <v>503</v>
      </c>
      <c r="E153" s="411" t="s">
        <v>762</v>
      </c>
      <c r="F153" s="513"/>
      <c r="G153" s="468"/>
      <c r="H153" s="241"/>
      <c r="I153" s="29"/>
      <c r="J153" s="425">
        <f t="shared" si="19"/>
        <v>0</v>
      </c>
      <c r="K153" s="471"/>
      <c r="L153" s="697" t="str">
        <f t="shared" si="20"/>
        <v/>
      </c>
      <c r="M153" s="719"/>
      <c r="N153" s="720"/>
      <c r="O153" s="720"/>
      <c r="P153" s="720"/>
      <c r="Q153" s="720"/>
      <c r="R153" s="720"/>
      <c r="S153" s="720"/>
      <c r="T153" s="721"/>
      <c r="U153" s="71"/>
      <c r="V153" s="464"/>
      <c r="W153" s="609"/>
      <c r="X153" s="522"/>
      <c r="Y153" s="522"/>
      <c r="Z153" s="522"/>
      <c r="AA153" s="522"/>
      <c r="AB153" s="522"/>
    </row>
    <row r="154" spans="1:28" ht="9.6" customHeight="1" x14ac:dyDescent="0.25">
      <c r="A154" s="646" t="s">
        <v>753</v>
      </c>
      <c r="B154" s="7" t="str">
        <f>IF(  AND(ISNUMBER(C154),OR(ISNUMBER(D154),D154="PG")),IF(IF(Capa!$B$6="B",0,Capa!$B$6)&gt;=C154,1,0),"")</f>
        <v/>
      </c>
      <c r="C154" s="6">
        <f t="shared" si="16"/>
        <v>3</v>
      </c>
      <c r="D154" s="647" t="s">
        <v>70</v>
      </c>
      <c r="E154" s="352"/>
      <c r="F154" s="513"/>
      <c r="G154" s="468"/>
      <c r="H154" s="241"/>
      <c r="I154" s="29"/>
      <c r="J154" s="425">
        <f t="shared" si="19"/>
        <v>0</v>
      </c>
      <c r="K154" s="471"/>
      <c r="L154" s="697" t="str">
        <f t="shared" si="20"/>
        <v/>
      </c>
      <c r="M154" s="719"/>
      <c r="N154" s="720"/>
      <c r="O154" s="720"/>
      <c r="P154" s="720"/>
      <c r="Q154" s="720"/>
      <c r="R154" s="720"/>
      <c r="S154" s="720"/>
      <c r="T154" s="721"/>
      <c r="U154" s="71"/>
      <c r="V154" s="464"/>
      <c r="W154" s="609"/>
      <c r="X154" s="522"/>
      <c r="Y154" s="522"/>
      <c r="Z154" s="522"/>
      <c r="AA154" s="522"/>
      <c r="AB154" s="522"/>
    </row>
    <row r="155" spans="1:28" ht="45.6" customHeight="1" x14ac:dyDescent="0.25">
      <c r="A155" s="646" t="s">
        <v>753</v>
      </c>
      <c r="B155" s="7">
        <f>IF(  AND(ISNUMBER(C155),OR(ISNUMBER(D155),D155="PG")),IF(IF(Capa!$B$6="B",0,Capa!$B$6)&gt;=C155,1,0),"")</f>
        <v>0</v>
      </c>
      <c r="C155" s="6">
        <f t="shared" si="16"/>
        <v>3</v>
      </c>
      <c r="D155" s="647">
        <v>504</v>
      </c>
      <c r="E155" s="390" t="s">
        <v>763</v>
      </c>
      <c r="F155" s="513"/>
      <c r="G155" s="468"/>
      <c r="H155" s="241"/>
      <c r="I155" s="29"/>
      <c r="J155" s="425">
        <f t="shared" si="19"/>
        <v>0</v>
      </c>
      <c r="K155" s="471"/>
      <c r="L155" s="697" t="str">
        <f t="shared" si="20"/>
        <v/>
      </c>
      <c r="M155" s="719"/>
      <c r="N155" s="720"/>
      <c r="O155" s="720"/>
      <c r="P155" s="720"/>
      <c r="Q155" s="720"/>
      <c r="R155" s="720"/>
      <c r="S155" s="720"/>
      <c r="T155" s="721"/>
      <c r="U155" s="71"/>
      <c r="V155" s="464"/>
      <c r="W155" s="609"/>
      <c r="X155" s="522"/>
      <c r="Y155" s="522"/>
      <c r="Z155" s="522"/>
      <c r="AA155" s="522"/>
      <c r="AB155" s="522"/>
    </row>
    <row r="156" spans="1:28" ht="46.7" customHeight="1" x14ac:dyDescent="0.25">
      <c r="A156" s="646" t="s">
        <v>753</v>
      </c>
      <c r="B156" s="7">
        <f>IF(  AND(ISNUMBER(C156),OR(ISNUMBER(D156),D156="PG")),IF(IF(Capa!$B$6="B",0,Capa!$B$6)&gt;=C156,1,0),"")</f>
        <v>0</v>
      </c>
      <c r="C156" s="6">
        <f t="shared" si="16"/>
        <v>3</v>
      </c>
      <c r="D156" s="649">
        <v>505</v>
      </c>
      <c r="E156" s="390" t="s">
        <v>764</v>
      </c>
      <c r="F156" s="513"/>
      <c r="G156" s="468"/>
      <c r="H156" s="241"/>
      <c r="I156" s="29"/>
      <c r="J156" s="425">
        <f t="shared" si="19"/>
        <v>0</v>
      </c>
      <c r="K156" s="471"/>
      <c r="L156" s="697" t="str">
        <f t="shared" si="20"/>
        <v/>
      </c>
      <c r="M156" s="719"/>
      <c r="N156" s="720"/>
      <c r="O156" s="720"/>
      <c r="P156" s="720"/>
      <c r="Q156" s="720"/>
      <c r="R156" s="720"/>
      <c r="S156" s="720"/>
      <c r="T156" s="721"/>
      <c r="U156" s="71"/>
      <c r="V156" s="464"/>
      <c r="W156" s="610"/>
      <c r="X156" s="522"/>
      <c r="Y156" s="522"/>
      <c r="Z156" s="522"/>
      <c r="AA156" s="522"/>
      <c r="AB156" s="522"/>
    </row>
    <row r="157" spans="1:28" ht="11.1" customHeight="1" x14ac:dyDescent="0.25">
      <c r="B157" s="7" t="str">
        <f>IF(  AND(ISNUMBER(C157),OR(ISNUMBER(D157),D157="PG")),IF(IF(Capa!$B$6="B",0,Capa!$B$6)&gt;=C157,1,0),"")</f>
        <v/>
      </c>
      <c r="C157" s="6" t="str">
        <f t="shared" si="16"/>
        <v/>
      </c>
      <c r="D157" s="122"/>
      <c r="E157" s="299"/>
      <c r="F157" s="123"/>
      <c r="G157" s="227"/>
      <c r="H157" s="227"/>
      <c r="I157" s="123"/>
      <c r="J157" s="227"/>
      <c r="K157" s="694"/>
      <c r="L157" s="219"/>
      <c r="M157" s="124"/>
      <c r="N157" s="124"/>
      <c r="O157" s="124"/>
      <c r="P157" s="124"/>
      <c r="Q157" s="124"/>
      <c r="R157" s="124"/>
      <c r="S157" s="251"/>
      <c r="T157" s="251"/>
      <c r="U157" s="260"/>
      <c r="V157" s="556"/>
      <c r="W157" s="138"/>
      <c r="X157" s="522"/>
      <c r="Y157" s="522"/>
      <c r="Z157" s="522"/>
      <c r="AA157" s="522"/>
      <c r="AB157" s="522"/>
    </row>
    <row r="158" spans="1:28" x14ac:dyDescent="0.25">
      <c r="A158" s="210" t="s">
        <v>765</v>
      </c>
      <c r="B158" s="7" t="str">
        <f>IF(  AND(ISNUMBER(C158),OR(ISNUMBER(D158),D158="PG")),IF(IF(Capa!$B$6="B",0,Capa!$B$6)&gt;=C158,1,0),"")</f>
        <v/>
      </c>
      <c r="C158" s="6" t="str">
        <f t="shared" si="16"/>
        <v/>
      </c>
      <c r="D158" s="137"/>
      <c r="E158" s="408" t="s">
        <v>766</v>
      </c>
      <c r="F158" s="381">
        <f>IF(COUNTIFS($A$1:$A$236,"="&amp;A158&amp;"?",$B$1:$B$236,"&gt;0",$D$1:$D$236,"&gt;0")&gt;0,(COUNTIFS($A$1:$A$236,"="&amp;A158&amp;"?",$B$1:$B$236,"&gt;0",$D$1:$D$236,"&gt;0",F$1:F$236,"=S")+COUNTIFS($A$1:$A$236,"="&amp;A158&amp;"?",$B$1:$B$236,"&gt;0",$D$1:$D$236,"&gt;0",$F$1:$F$236,"=P")+COUNTIFS($A$1:$A$236,"="&amp;A158&amp;"?",$B$1:$B$236,"&gt;0",$D$1:$D$236,"&gt;0",F$1:F$236,"=N")+COUNTIFS($A$1:$A$236,"="&amp;A158&amp;"?",$B$1:$B$236,"&gt;0",$D$1:$D$236,"&gt;0",F$1:F$236,"=NA"))/COUNTIFS($A$1:$A$236,"="&amp;A158&amp;"?",$B$1:$B$236,"&gt;0",$D$1:$D$236,"&gt;0"),0)</f>
        <v>0</v>
      </c>
      <c r="G158" s="552"/>
      <c r="H158" s="232"/>
      <c r="I158" s="381">
        <f>IF(COUNTIFS($A$1:$A$236,"="&amp;A158&amp;"?",$B$1:$B$236,"&gt;0",$D$1:$D$236,"&gt;0")&gt;0,
        (COUNTIFS($A$1:$A$236,"="&amp;A158&amp;"?",$B$1:$B$236,"&gt;0",$D$1:$D$236,"&gt;0",F$1:F$236,"=S",I$1:I$236,"") +
         (COUNTIFS($A$1:$A$236,"="&amp;A158&amp;"?",$B$1:$B$236,"&gt;0",$D$1:$D$236,"&gt;0",$F$1:$F$236,"=P",I$1:I$236,"")/2) +
         COUNTIFS($A$1:$A$236,"="&amp;A158&amp;"?",$B$1:$B$236,"&gt;0",$D$1:$D$236,"&gt;0",I$1:I$236,"=S") +
         (COUNTIFS($A$1:$A$236,"="&amp;A158&amp;"?",$B$1:$B$236,"&gt;0",$D$1:$D$236,"&gt;0",I$1:I$236,"=P")/2)
         )/COUNTIFS($A$1:$A$236,"="&amp;A158&amp;"?",$B$1:$B$236,"&gt;0",$D$1:$D$236,"&gt;0"),0)</f>
        <v>0</v>
      </c>
      <c r="J158" s="232"/>
      <c r="K158" s="565"/>
      <c r="L158" s="213"/>
      <c r="M158" s="722">
        <f>(M159*20+N159*10+O159*10+Q159*30+R159*15+S159*15)/100</f>
        <v>0</v>
      </c>
      <c r="N158" s="723"/>
      <c r="O158" s="723"/>
      <c r="P158" s="723"/>
      <c r="Q158" s="723"/>
      <c r="R158" s="723"/>
      <c r="S158" s="723"/>
      <c r="T158" s="724"/>
      <c r="U158" s="450"/>
      <c r="V158" s="560"/>
      <c r="W158" s="611"/>
      <c r="X158" s="579"/>
      <c r="Y158" s="579"/>
      <c r="Z158" s="579"/>
      <c r="AA158" s="579"/>
      <c r="AB158" s="579"/>
    </row>
    <row r="159" spans="1:28" x14ac:dyDescent="0.25">
      <c r="A159" s="210" t="s">
        <v>765</v>
      </c>
      <c r="B159" s="7" t="str">
        <f>IF(  AND(ISNUMBER(C159),OR(ISNUMBER(D159),D159="PG")),IF(IF(Capa!$B$6="B",0,Capa!$B$6)&gt;=C159,1,0),"")</f>
        <v/>
      </c>
      <c r="C159" s="6" t="str">
        <f t="shared" si="16"/>
        <v/>
      </c>
      <c r="D159" s="5"/>
      <c r="E159" s="393">
        <f>IF(SUMIFS($B$1:$B$236,$A$1:$A$236,"="&amp;A158&amp;"?",B$1:B$236,"&gt;0")&lt;=0,0,COUNTIFS($F$1:$F$236,"*",$A$1:$A$236,"="&amp;A158&amp;"?",B$1:B$236,"&gt;0")/SUMIFS($B$1:$B$236,$A$1:$A$236,"="&amp;A158&amp;"?",B$1:B$236,"&gt;0"))</f>
        <v>0</v>
      </c>
      <c r="F159" s="555"/>
      <c r="G159" s="549"/>
      <c r="H159" s="253"/>
      <c r="I159" s="36"/>
      <c r="J159" s="253"/>
      <c r="K159" s="566"/>
      <c r="L159" s="252"/>
      <c r="M159" s="100">
        <f>(COUNTIFS($A$1:$A$236,"="&amp;$A158&amp;"?",$B$1:$B$236,"&gt;0",$D$1:$D$236,"=PG",M$1:M$236,"=1")*(IF(Capa!$B$6="B",100,IF(Capa!$B$6=1,50,IF(Capa!$B$6=2,33,25))))+COUNTIFS($A$1:$A$236,"="&amp;$A158&amp;"?",$B$1:$B$236,"&gt;0",$D$1:$D$236,"=PG",M$1:M$236,"=2")*(IF(Capa!$B$6="B",100,IF(Capa!$B$6=1,100,IF(Capa!$B$6=2,67,50))))+COUNTIFS($A$1:$A$236,"="&amp;$A158&amp;"?",$B$1:$B$236,"&gt;0",$D$1:$D$236,"=PG",M$1:M$236,"=3")*(IF(Capa!$B$6="B",100,IF(Capa!$B$6=1,100,IF(Capa!$B$6=2,100,75))))+COUNTIFS($A$1:$A$236,"="&amp;$A158&amp;"?",$B$1:$B$236,"&gt;0",$D$1:$D$236,"=PG",M$1:M$236,"=4")*100)/(COUNTIFS($A$1:$A$236,"="&amp;$A158&amp;"?",$B$1:$B$236,"&gt;0",$D$1:$D$236,"=PG")*100)</f>
        <v>0</v>
      </c>
      <c r="N159" s="100">
        <f>(COUNTIFS($A$1:$A$236,"="&amp;$A158&amp;"?",$B$1:$B$236,"&gt;0",$D$1:$D$236,"=PG",N$1:N$236,"=1")*(IF(Capa!$B$6="B",100,IF(Capa!$B$6=1,50,IF(Capa!$B$6=2,33,25))))+COUNTIFS($A$1:$A$236,"="&amp;$A158&amp;"?",$B$1:$B$236,"&gt;0",$D$1:$D$236,"=PG",N$1:N$236,"=2")*(IF(Capa!$B$6="B",100,IF(Capa!$B$6=1,100,IF(Capa!$B$6=2,67,50))))+COUNTIFS($A$1:$A$236,"="&amp;$A158&amp;"?",$B$1:$B$236,"&gt;0",$D$1:$D$236,"=PG",N$1:N$236,"=3")*(IF(Capa!$B$6="B",100,IF(Capa!$B$6=1,100,IF(Capa!$B$6=2,100,75))))+COUNTIFS($A$1:$A$236,"="&amp;$A158&amp;"?",$B$1:$B$236,"&gt;0",$D$1:$D$236,"=PG",N$1:N$236,"=4")*100)/(COUNTIFS($A$1:$A$236,"="&amp;$A158&amp;"?",$B$1:$B$236,"&gt;0",$D$1:$D$236,"=PG")*100)</f>
        <v>0</v>
      </c>
      <c r="O159" s="100">
        <f>(COUNTIFS($A$1:$A$236,"="&amp;$A158&amp;"?",$B$1:$B$236,"&gt;0",$D$1:$D$236,"=PG",O$1:O$236,"=1")*(IF(Capa!$B$6="B",100,IF(Capa!$B$6=1,50,IF(Capa!$B$6=2,33,25))))+COUNTIFS($A$1:$A$236,"="&amp;$A158&amp;"?",$B$1:$B$236,"&gt;0",$D$1:$D$236,"=PG",O$1:O$236,"=2")*(IF(Capa!$B$6="B",100,IF(Capa!$B$6=1,100,IF(Capa!$B$6=2,67,50))))+COUNTIFS($A$1:$A$236,"="&amp;$A158&amp;"?",$B$1:$B$236,"&gt;0",$D$1:$D$236,"=PG",O$1:O$236,"=3")*(IF(Capa!$B$6="B",100,IF(Capa!$B$6=1,100,IF(Capa!$B$6=2,100,75))))+COUNTIFS($A$1:$A$236,"="&amp;$A158&amp;"?",$B$1:$B$236,"&gt;0",$D$1:$D$236,"=PG",O$1:O$236,"=4")*100)/(COUNTIFS($A$1:$A$236,"="&amp;$A158&amp;"?",$B$1:$B$236,"&gt;0",$D$1:$D$236,"=PG")*100)</f>
        <v>0</v>
      </c>
      <c r="P159" s="414">
        <f>P162+P176+P190+P204</f>
        <v>0</v>
      </c>
      <c r="Q159" s="100">
        <f>(COUNTIFS($A$1:$A$236,"="&amp;$A158&amp;"?",$B$1:$B$236,"",$L$1:$L$236,"&gt;=0",Q$1:Q$236,"=1")*(IF(Capa!$B$6="B",100,IF(Capa!$B$6=1,50,IF(Capa!$B$6=2,33,25))))+COUNTIFS($A$1:$A$236,"="&amp;$A158&amp;"?",$B$1:$B$236,"",$L$1:$L$236,"&gt;=0",Q$1:Q$236,"=2")*(IF(Capa!$B$6="B",100,IF(Capa!$B$6=1,100,IF(Capa!$B$6=2,67,50))))+COUNTIFS($A$1:$A$236,"="&amp;$A158&amp;"?",$B$1:$B$236,"",$L$1:$L$236,"&gt;=0",Q$1:Q$236,"=3")*(IF(Capa!$B$6="B",100,IF(Capa!$B$6=1,100,IF(Capa!$B$6=2,100,75))))+COUNTIFS($A$1:$A$236,"="&amp;$A158&amp;"?",$B$1:$B$236,"",$L$1:$L$236,"&gt;=0",Q$1:Q$236,"=4")*100)/(COUNTIFS($A$1:$A$236,"="&amp;$A158&amp;"?",$B$1:$B$236,"",$L$1:$L$236,"&gt;=0")*100)</f>
        <v>0</v>
      </c>
      <c r="R159" s="100">
        <f>(COUNTIFS($A$1:$A$236,"="&amp;$A158&amp;"?",$B$1:$B$236,"&gt;0",$D$1:$D$236,"=PG",R$1:R$236,"=1")*(IF(Capa!$B$6="B",100,IF(Capa!$B$6=1,50,IF(Capa!$B$6=2,33,25))))+COUNTIFS($A$1:$A$236,"="&amp;$A158&amp;"?",$B$1:$B$236,"&gt;0",$D$1:$D$236,"=PG",R$1:R$236,"=2")*(IF(Capa!$B$6="B",100,IF(Capa!$B$6=1,100,IF(Capa!$B$6=2,67,50))))+COUNTIFS($A$1:$A$236,"="&amp;$A158&amp;"?",$B$1:$B$236,"&gt;0",$D$1:$D$236,"=PG",R$1:R$236,"=3")*(IF(Capa!$B$6="B",100,IF(Capa!$B$6=1,100,IF(Capa!$B$6=2,100,75))))+COUNTIFS($A$1:$A$236,"="&amp;$A158&amp;"?",$B$1:$B$236,"&gt;0",$D$1:$D$236,"=PG",R$1:R$236,"=4")*100)/(COUNTIFS($A$1:$A$236,"="&amp;$A158&amp;"?",$B$1:$B$236,"&gt;0",$D$1:$D$236,"=PG")*100)</f>
        <v>0</v>
      </c>
      <c r="S159" s="100">
        <f>(COUNTIFS($A$1:$A$236,"="&amp;$A158&amp;"?",$B$1:$B$236,"&gt;0",$D$1:$D$236,"=PG",S$1:S$236,"=1")*(IF(Capa!$B$6="B",100,IF(Capa!$B$6=1,50,IF(Capa!$B$6=2,33,25))))+COUNTIFS($A$1:$A$236,"="&amp;$A158&amp;"?",$B$1:$B$236,"&gt;0",$D$1:$D$236,"=PG",S$1:S$236,"=2")*(IF(Capa!$B$6="B",100,IF(Capa!$B$6=1,100,IF(Capa!$B$6=2,67,50))))+COUNTIFS($A$1:$A$236,"="&amp;$A158&amp;"?",$B$1:$B$236,"&gt;0",$D$1:$D$236,"=PG",S$1:S$236,"=3")*(IF(Capa!$B$6="B",100,IF(Capa!$B$6=1,100,IF(Capa!$B$6=2,100,75))))+COUNTIFS($A$1:$A$236,"="&amp;$A158&amp;"?",$B$1:$B$236,"&gt;0",$D$1:$D$236,"=PG",S$1:S$236,"=4")*100)/(COUNTIFS($A$1:$A$236,"="&amp;$A158&amp;"?",$B$1:$B$236,"&gt;0",$D$1:$D$236,"=PG")*100)</f>
        <v>0</v>
      </c>
      <c r="T159" s="414">
        <f>T162+T176+T190+T204</f>
        <v>0</v>
      </c>
      <c r="U159" s="100"/>
      <c r="V159" s="465"/>
      <c r="W159" s="608"/>
      <c r="X159" s="522"/>
      <c r="Y159" s="522"/>
      <c r="Z159" s="522"/>
      <c r="AA159" s="522"/>
      <c r="AB159" s="522"/>
    </row>
    <row r="160" spans="1:28" x14ac:dyDescent="0.25">
      <c r="A160" s="210" t="s">
        <v>767</v>
      </c>
      <c r="B160" s="7" t="str">
        <f>IF(  AND(ISNUMBER(C160),OR(ISNUMBER(D160),D160="PG")),IF(IF(Capa!$B$6="B",0,Capa!$B$6)&gt;=C160,1,0),"")</f>
        <v/>
      </c>
      <c r="C160" s="6" t="str">
        <f t="shared" si="16"/>
        <v/>
      </c>
      <c r="D160" s="15"/>
      <c r="E160" s="395" t="s">
        <v>768</v>
      </c>
      <c r="F160" s="517"/>
      <c r="G160" s="550"/>
      <c r="H160" s="219"/>
      <c r="I160" s="23"/>
      <c r="J160" s="219"/>
      <c r="K160" s="528"/>
      <c r="L160" s="383">
        <f>IF(AND($B162=1,D162="PG"),IF(COUNTIFS($A$1:$A$236,"="&amp;$A160,$B$1:$B$236,"&gt;0",$D$1:$D$236,"&gt;0")&gt;0,
        (COUNTIFS($A$1:$A$236,"="&amp;$A160,$B$1:$B$236,"&gt;0",$D$1:$D$236,"&gt;0",F$1:F$236,"=S",I$1:I$236,"") +
         (COUNTIFS($A$1:$A$236,"="&amp;$A160,$B$1:$B$236,"&gt;0",$D$1:$D$236,"&gt;0",$F$1:$F$236,"=P",I$1:I$236,"")/2) +
         COUNTIFS($A$1:$A$236,"="&amp;$A160,$B$1:$B$236,"&gt;0",$D$1:$D$236,"&gt;0",I$1:I$236,"=S") +
         (COUNTIFS($A$1:$A$236,"="&amp;$A160,$B$1:$B$236,"&gt;0",$D$1:$D$236,"&gt;0",I$1:I$236,"=P")/2)
         )/COUNTIFS($A$1:$A$236,"="&amp;$A160,$B$1:$B$236,"&gt;0",$D$1:$D$236,"&gt;0"),1),"")</f>
        <v>0</v>
      </c>
      <c r="M160" s="380"/>
      <c r="N160" s="70"/>
      <c r="O160" s="68"/>
      <c r="P160" s="68"/>
      <c r="Q160" s="83">
        <f>IF(L160="","",MIN(IF(ISBLANK(Q162),0,Q162),IF(L160&gt;0.9,4,IF(L160&gt;0.5,3,IF(L160&gt;0.3,2,IF(OR(L160&gt;0,Q162&gt;0),1,0))))))</f>
        <v>0</v>
      </c>
      <c r="R160" s="83"/>
      <c r="S160" s="303"/>
      <c r="T160" s="292"/>
      <c r="U160" s="292"/>
      <c r="V160" s="545"/>
      <c r="W160" s="604"/>
      <c r="X160" s="579"/>
      <c r="Y160" s="579"/>
      <c r="Z160" s="579"/>
      <c r="AA160" s="579"/>
      <c r="AB160" s="579"/>
    </row>
    <row r="161" spans="1:28" ht="6.6" customHeight="1" x14ac:dyDescent="0.25">
      <c r="A161" s="210" t="s">
        <v>767</v>
      </c>
      <c r="B161" s="7" t="str">
        <f>IF(  AND(ISNUMBER(C161),OR(ISNUMBER(D161),D161="PG")),IF(IF(Capa!$B$6="B",0,Capa!$B$6)&gt;=C161,1,0),"")</f>
        <v/>
      </c>
      <c r="C161" s="6">
        <f t="shared" si="16"/>
        <v>0</v>
      </c>
      <c r="D161" s="5" t="s">
        <v>53</v>
      </c>
      <c r="E161" s="391"/>
      <c r="F161" s="554"/>
      <c r="G161" s="561"/>
      <c r="H161" s="239"/>
      <c r="I161" s="26"/>
      <c r="J161" s="239"/>
      <c r="K161" s="563"/>
      <c r="L161" s="213"/>
      <c r="M161" s="82"/>
      <c r="N161" s="59"/>
      <c r="O161" s="59"/>
      <c r="P161" s="59"/>
      <c r="Q161" s="59"/>
      <c r="R161" s="59"/>
      <c r="S161" s="262"/>
      <c r="T161" s="262"/>
      <c r="U161" s="355"/>
      <c r="V161" s="465"/>
      <c r="W161" s="608"/>
      <c r="X161" s="522"/>
      <c r="Y161" s="522"/>
      <c r="Z161" s="522"/>
      <c r="AA161" s="522"/>
      <c r="AB161" s="522"/>
    </row>
    <row r="162" spans="1:28" ht="89.25" x14ac:dyDescent="0.25">
      <c r="A162" s="646" t="s">
        <v>767</v>
      </c>
      <c r="B162" s="7">
        <f>IF(  AND(ISNUMBER(C162),OR(ISNUMBER(D162),D162="PG")),IF(IF(Capa!$B$6="B",0,Capa!$B$6)&gt;=C162,1,0),"")</f>
        <v>1</v>
      </c>
      <c r="C162" s="6">
        <f t="shared" si="16"/>
        <v>0</v>
      </c>
      <c r="D162" s="647" t="s">
        <v>54</v>
      </c>
      <c r="E162" s="389" t="s">
        <v>769</v>
      </c>
      <c r="F162" s="513"/>
      <c r="G162" s="468"/>
      <c r="H162" s="241"/>
      <c r="I162" s="29"/>
      <c r="J162" s="239"/>
      <c r="K162" s="471"/>
      <c r="L162" s="697" t="str">
        <f>IF(OR(AND(NOT(ISBLANK(M162)),M162&lt;IF(Capa!$B$6&lt;&gt;"B",Capa!$B$6+1,1)),AND(NOT(ISBLANK(N162)),N162&lt;IF(Capa!$B$6&lt;&gt;"B",Capa!$B$6+1,1)),AND(NOT(ISBLANK(O162)),O162&lt;IF(Capa!$B$6&lt;&gt;"B",Capa!$B$6+1,1)),AND(NOT(ISBLANK(Q162)),Q162&lt;IF(Capa!$B$6&lt;&gt;"B",Capa!$B$6+1,1)),AND(NOT(ISBLANK(R162)),R162&lt;IF(Capa!$B$6&lt;&gt;"B",Capa!$B$6+1,1)),AND(NOT(ISBLANK(S162)),S162&lt;IF(Capa!$B$6&lt;&gt;"B",Capa!$B$6+1,1))),1,"")</f>
        <v/>
      </c>
      <c r="M162" s="81"/>
      <c r="N162" s="81"/>
      <c r="O162" s="81"/>
      <c r="P162" s="81"/>
      <c r="Q162" s="81"/>
      <c r="R162" s="81"/>
      <c r="S162" s="81"/>
      <c r="T162" s="81"/>
      <c r="U162" s="58"/>
      <c r="V162" s="464"/>
      <c r="W162" s="609"/>
      <c r="X162" s="666"/>
      <c r="Y162" s="522"/>
      <c r="Z162" s="522"/>
      <c r="AA162" s="522"/>
      <c r="AB162" s="522"/>
    </row>
    <row r="163" spans="1:28" ht="60" x14ac:dyDescent="0.25">
      <c r="A163" s="646" t="s">
        <v>767</v>
      </c>
      <c r="B163" s="7">
        <f>IF(  AND(ISNUMBER(C163),OR(ISNUMBER(D163),D163="PG")),IF(IF(Capa!$B$6="B",0,Capa!$B$6)&gt;=C163,1,0),"")</f>
        <v>1</v>
      </c>
      <c r="C163" s="6">
        <f t="shared" si="16"/>
        <v>0</v>
      </c>
      <c r="D163" s="647">
        <v>506</v>
      </c>
      <c r="E163" s="352" t="s">
        <v>770</v>
      </c>
      <c r="F163" s="513"/>
      <c r="G163" s="468"/>
      <c r="H163" s="241"/>
      <c r="I163" s="29"/>
      <c r="J163" s="425">
        <f t="shared" ref="J163:J172" si="21">LEN(K163)</f>
        <v>0</v>
      </c>
      <c r="K163" s="471"/>
      <c r="L163" s="697" t="str">
        <f t="shared" ref="L163:L172" si="22">IF(OR(I163="N",I163="P"),1,"")</f>
        <v/>
      </c>
      <c r="M163" s="719"/>
      <c r="N163" s="720"/>
      <c r="O163" s="720"/>
      <c r="P163" s="720"/>
      <c r="Q163" s="720"/>
      <c r="R163" s="720"/>
      <c r="S163" s="720"/>
      <c r="T163" s="721"/>
      <c r="U163" s="71"/>
      <c r="V163" s="464"/>
      <c r="W163" s="609"/>
      <c r="X163" s="522"/>
      <c r="Y163" s="522"/>
      <c r="Z163" s="522"/>
      <c r="AA163" s="522"/>
      <c r="AB163" s="522"/>
    </row>
    <row r="164" spans="1:28" ht="45" x14ac:dyDescent="0.25">
      <c r="A164" s="646" t="s">
        <v>767</v>
      </c>
      <c r="B164" s="7">
        <f>IF(  AND(ISNUMBER(C164),OR(ISNUMBER(D164),D164="PG")),IF(IF(Capa!$B$6="B",0,Capa!$B$6)&gt;=C164,1,0),"")</f>
        <v>1</v>
      </c>
      <c r="C164" s="6">
        <f t="shared" si="16"/>
        <v>0</v>
      </c>
      <c r="D164" s="647">
        <v>507</v>
      </c>
      <c r="E164" s="352" t="s">
        <v>771</v>
      </c>
      <c r="F164" s="513"/>
      <c r="G164" s="468"/>
      <c r="H164" s="241"/>
      <c r="I164" s="29"/>
      <c r="J164" s="425">
        <f t="shared" si="21"/>
        <v>0</v>
      </c>
      <c r="K164" s="471"/>
      <c r="L164" s="697" t="str">
        <f t="shared" si="22"/>
        <v/>
      </c>
      <c r="M164" s="719"/>
      <c r="N164" s="720"/>
      <c r="O164" s="720"/>
      <c r="P164" s="720"/>
      <c r="Q164" s="720"/>
      <c r="R164" s="720"/>
      <c r="S164" s="720"/>
      <c r="T164" s="721"/>
      <c r="U164" s="71"/>
      <c r="V164" s="464"/>
      <c r="W164" s="609"/>
      <c r="X164" s="522"/>
      <c r="Y164" s="522"/>
      <c r="Z164" s="522"/>
      <c r="AA164" s="522"/>
      <c r="AB164" s="522"/>
    </row>
    <row r="165" spans="1:28" ht="6.6" customHeight="1" x14ac:dyDescent="0.25">
      <c r="A165" s="646" t="s">
        <v>767</v>
      </c>
      <c r="B165" s="7" t="str">
        <f>IF(  AND(ISNUMBER(C165),OR(ISNUMBER(D165),D165="PG")),IF(IF(Capa!$B$6="B",0,Capa!$B$6)&gt;=C165,1,0),"")</f>
        <v/>
      </c>
      <c r="C165" s="6">
        <f t="shared" si="16"/>
        <v>1</v>
      </c>
      <c r="D165" s="647" t="s">
        <v>62</v>
      </c>
      <c r="E165" s="352"/>
      <c r="F165" s="513"/>
      <c r="G165" s="468"/>
      <c r="H165" s="241"/>
      <c r="I165" s="29"/>
      <c r="J165" s="425">
        <f t="shared" si="21"/>
        <v>0</v>
      </c>
      <c r="K165" s="471"/>
      <c r="L165" s="697" t="str">
        <f t="shared" si="22"/>
        <v/>
      </c>
      <c r="M165" s="719"/>
      <c r="N165" s="720"/>
      <c r="O165" s="720"/>
      <c r="P165" s="720"/>
      <c r="Q165" s="720"/>
      <c r="R165" s="720"/>
      <c r="S165" s="720"/>
      <c r="T165" s="721"/>
      <c r="U165" s="71"/>
      <c r="V165" s="464"/>
      <c r="W165" s="609"/>
      <c r="X165" s="522"/>
      <c r="Y165" s="522"/>
      <c r="Z165" s="522"/>
      <c r="AA165" s="522"/>
      <c r="AB165" s="522"/>
    </row>
    <row r="166" spans="1:28" ht="60" x14ac:dyDescent="0.25">
      <c r="A166" s="646" t="s">
        <v>767</v>
      </c>
      <c r="B166" s="7">
        <f>IF(  AND(ISNUMBER(C166),OR(ISNUMBER(D166),D166="PG")),IF(IF(Capa!$B$6="B",0,Capa!$B$6)&gt;=C166,1,0),"")</f>
        <v>0</v>
      </c>
      <c r="C166" s="6">
        <f t="shared" si="16"/>
        <v>1</v>
      </c>
      <c r="D166" s="647">
        <v>508</v>
      </c>
      <c r="E166" s="352" t="s">
        <v>772</v>
      </c>
      <c r="F166" s="513"/>
      <c r="G166" s="468"/>
      <c r="H166" s="241"/>
      <c r="I166" s="29"/>
      <c r="J166" s="425">
        <f t="shared" si="21"/>
        <v>0</v>
      </c>
      <c r="K166" s="471"/>
      <c r="L166" s="697" t="str">
        <f t="shared" si="22"/>
        <v/>
      </c>
      <c r="M166" s="719"/>
      <c r="N166" s="720"/>
      <c r="O166" s="720"/>
      <c r="P166" s="720"/>
      <c r="Q166" s="720"/>
      <c r="R166" s="720"/>
      <c r="S166" s="720"/>
      <c r="T166" s="721"/>
      <c r="U166" s="71"/>
      <c r="V166" s="464"/>
      <c r="W166" s="609"/>
      <c r="X166" s="522"/>
      <c r="Y166" s="522"/>
      <c r="Z166" s="522"/>
      <c r="AA166" s="522"/>
      <c r="AB166" s="522"/>
    </row>
    <row r="167" spans="1:28" ht="6.6" customHeight="1" x14ac:dyDescent="0.25">
      <c r="A167" s="646" t="s">
        <v>767</v>
      </c>
      <c r="B167" s="7" t="str">
        <f>IF(  AND(ISNUMBER(C167),OR(ISNUMBER(D167),D167="PG")),IF(IF(Capa!$B$6="B",0,Capa!$B$6)&gt;=C167,1,0),"")</f>
        <v/>
      </c>
      <c r="C167" s="6">
        <f t="shared" si="16"/>
        <v>2</v>
      </c>
      <c r="D167" s="647" t="s">
        <v>64</v>
      </c>
      <c r="E167" s="352"/>
      <c r="F167" s="513"/>
      <c r="G167" s="468"/>
      <c r="H167" s="241"/>
      <c r="I167" s="29"/>
      <c r="J167" s="425">
        <f t="shared" si="21"/>
        <v>0</v>
      </c>
      <c r="K167" s="471"/>
      <c r="L167" s="697" t="str">
        <f t="shared" si="22"/>
        <v/>
      </c>
      <c r="M167" s="719"/>
      <c r="N167" s="720"/>
      <c r="O167" s="720"/>
      <c r="P167" s="720"/>
      <c r="Q167" s="720"/>
      <c r="R167" s="720"/>
      <c r="S167" s="720"/>
      <c r="T167" s="721"/>
      <c r="U167" s="71"/>
      <c r="V167" s="464"/>
      <c r="W167" s="609"/>
      <c r="X167" s="522"/>
      <c r="Y167" s="522"/>
      <c r="Z167" s="522"/>
      <c r="AA167" s="522"/>
      <c r="AB167" s="522"/>
    </row>
    <row r="168" spans="1:28" ht="76.349999999999994" customHeight="1" x14ac:dyDescent="0.25">
      <c r="A168" s="646" t="s">
        <v>767</v>
      </c>
      <c r="B168" s="7">
        <f>IF(  AND(ISNUMBER(C168),OR(ISNUMBER(D168),D168="PG")),IF(IF(Capa!$B$6="B",0,Capa!$B$6)&gt;=C168,1,0),"")</f>
        <v>0</v>
      </c>
      <c r="C168" s="6">
        <f t="shared" si="16"/>
        <v>2</v>
      </c>
      <c r="D168" s="647">
        <v>509</v>
      </c>
      <c r="E168" s="352" t="s">
        <v>773</v>
      </c>
      <c r="F168" s="513"/>
      <c r="G168" s="468"/>
      <c r="H168" s="241"/>
      <c r="I168" s="29"/>
      <c r="J168" s="425">
        <f t="shared" si="21"/>
        <v>0</v>
      </c>
      <c r="K168" s="471"/>
      <c r="L168" s="697" t="str">
        <f t="shared" si="22"/>
        <v/>
      </c>
      <c r="M168" s="719"/>
      <c r="N168" s="720"/>
      <c r="O168" s="720"/>
      <c r="P168" s="720"/>
      <c r="Q168" s="720"/>
      <c r="R168" s="720"/>
      <c r="S168" s="720"/>
      <c r="T168" s="721"/>
      <c r="U168" s="71"/>
      <c r="V168" s="464"/>
      <c r="W168" s="609"/>
      <c r="X168" s="522"/>
      <c r="Y168" s="522"/>
      <c r="Z168" s="522"/>
      <c r="AA168" s="522"/>
      <c r="AB168" s="522"/>
    </row>
    <row r="169" spans="1:28" ht="45" x14ac:dyDescent="0.25">
      <c r="A169" s="646" t="s">
        <v>767</v>
      </c>
      <c r="B169" s="7">
        <f>IF(  AND(ISNUMBER(C169),OR(ISNUMBER(D169),D169="PG")),IF(IF(Capa!$B$6="B",0,Capa!$B$6)&gt;=C169,1,0),"")</f>
        <v>0</v>
      </c>
      <c r="C169" s="6">
        <f t="shared" si="16"/>
        <v>2</v>
      </c>
      <c r="D169" s="647">
        <v>510</v>
      </c>
      <c r="E169" s="352" t="s">
        <v>774</v>
      </c>
      <c r="F169" s="513"/>
      <c r="G169" s="468"/>
      <c r="H169" s="241"/>
      <c r="I169" s="29"/>
      <c r="J169" s="425">
        <f t="shared" si="21"/>
        <v>0</v>
      </c>
      <c r="K169" s="471"/>
      <c r="L169" s="697" t="str">
        <f t="shared" si="22"/>
        <v/>
      </c>
      <c r="M169" s="719"/>
      <c r="N169" s="720"/>
      <c r="O169" s="720"/>
      <c r="P169" s="720"/>
      <c r="Q169" s="720"/>
      <c r="R169" s="720"/>
      <c r="S169" s="720"/>
      <c r="T169" s="721"/>
      <c r="U169" s="71"/>
      <c r="V169" s="464"/>
      <c r="W169" s="609"/>
      <c r="X169" s="522"/>
      <c r="Y169" s="522"/>
      <c r="Z169" s="522"/>
      <c r="AA169" s="522"/>
      <c r="AB169" s="522"/>
    </row>
    <row r="170" spans="1:28" ht="7.35" customHeight="1" x14ac:dyDescent="0.25">
      <c r="A170" s="646" t="s">
        <v>767</v>
      </c>
      <c r="B170" s="7" t="str">
        <f>IF(  AND(ISNUMBER(C170),OR(ISNUMBER(D170),D170="PG")),IF(IF(Capa!$B$6="B",0,Capa!$B$6)&gt;=C170,1,0),"")</f>
        <v/>
      </c>
      <c r="C170" s="6">
        <f t="shared" si="16"/>
        <v>3</v>
      </c>
      <c r="D170" s="647" t="s">
        <v>70</v>
      </c>
      <c r="E170" s="352"/>
      <c r="F170" s="513"/>
      <c r="G170" s="468"/>
      <c r="H170" s="241"/>
      <c r="I170" s="29"/>
      <c r="J170" s="425">
        <f t="shared" si="21"/>
        <v>0</v>
      </c>
      <c r="K170" s="471"/>
      <c r="L170" s="697" t="str">
        <f t="shared" si="22"/>
        <v/>
      </c>
      <c r="M170" s="719"/>
      <c r="N170" s="720"/>
      <c r="O170" s="720"/>
      <c r="P170" s="720"/>
      <c r="Q170" s="720"/>
      <c r="R170" s="720"/>
      <c r="S170" s="720"/>
      <c r="T170" s="721"/>
      <c r="U170" s="71"/>
      <c r="V170" s="464"/>
      <c r="W170" s="609"/>
      <c r="X170" s="522"/>
      <c r="Y170" s="522"/>
      <c r="Z170" s="522"/>
      <c r="AA170" s="522"/>
      <c r="AB170" s="522"/>
    </row>
    <row r="171" spans="1:28" ht="60" x14ac:dyDescent="0.25">
      <c r="A171" s="646" t="s">
        <v>767</v>
      </c>
      <c r="B171" s="7">
        <f>IF(  AND(ISNUMBER(C171),OR(ISNUMBER(D171),D171="PG")),IF(IF(Capa!$B$6="B",0,Capa!$B$6)&gt;=C171,1,0),"")</f>
        <v>0</v>
      </c>
      <c r="C171" s="6">
        <f t="shared" si="16"/>
        <v>3</v>
      </c>
      <c r="D171" s="647">
        <v>511</v>
      </c>
      <c r="E171" s="352" t="s">
        <v>775</v>
      </c>
      <c r="F171" s="513"/>
      <c r="G171" s="468"/>
      <c r="H171" s="241"/>
      <c r="I171" s="29"/>
      <c r="J171" s="425">
        <f t="shared" si="21"/>
        <v>0</v>
      </c>
      <c r="K171" s="471"/>
      <c r="L171" s="697" t="str">
        <f t="shared" si="22"/>
        <v/>
      </c>
      <c r="M171" s="719"/>
      <c r="N171" s="720"/>
      <c r="O171" s="720"/>
      <c r="P171" s="720"/>
      <c r="Q171" s="720"/>
      <c r="R171" s="720"/>
      <c r="S171" s="720"/>
      <c r="T171" s="721"/>
      <c r="U171" s="71"/>
      <c r="V171" s="464"/>
      <c r="W171" s="609"/>
      <c r="X171" s="522"/>
      <c r="Y171" s="522"/>
      <c r="Z171" s="522"/>
      <c r="AA171" s="522"/>
      <c r="AB171" s="522"/>
    </row>
    <row r="172" spans="1:28" ht="63.6" customHeight="1" x14ac:dyDescent="0.25">
      <c r="A172" s="646" t="s">
        <v>767</v>
      </c>
      <c r="B172" s="7">
        <f>IF(  AND(ISNUMBER(C172),OR(ISNUMBER(D172),D172="PG")),IF(IF(Capa!$B$6="B",0,Capa!$B$6)&gt;=C172,1,0),"")</f>
        <v>0</v>
      </c>
      <c r="C172" s="6">
        <f t="shared" si="16"/>
        <v>3</v>
      </c>
      <c r="D172" s="647">
        <v>512</v>
      </c>
      <c r="E172" s="352" t="s">
        <v>776</v>
      </c>
      <c r="F172" s="513"/>
      <c r="G172" s="468"/>
      <c r="H172" s="241"/>
      <c r="I172" s="29"/>
      <c r="J172" s="425">
        <f t="shared" si="21"/>
        <v>0</v>
      </c>
      <c r="K172" s="471"/>
      <c r="L172" s="697" t="str">
        <f t="shared" si="22"/>
        <v/>
      </c>
      <c r="M172" s="719"/>
      <c r="N172" s="720"/>
      <c r="O172" s="720"/>
      <c r="P172" s="720"/>
      <c r="Q172" s="720"/>
      <c r="R172" s="720"/>
      <c r="S172" s="720"/>
      <c r="T172" s="721"/>
      <c r="U172" s="71"/>
      <c r="V172" s="464"/>
      <c r="W172" s="609"/>
      <c r="X172" s="522"/>
      <c r="Y172" s="522"/>
      <c r="Z172" s="522"/>
      <c r="AA172" s="522"/>
      <c r="AB172" s="522"/>
    </row>
    <row r="173" spans="1:28" ht="11.1" customHeight="1" x14ac:dyDescent="0.25">
      <c r="B173" s="7" t="str">
        <f>IF(  AND(ISNUMBER(C173),OR(ISNUMBER(D173),D173="PG")),IF(IF(Capa!$B$6="B",0,Capa!$B$6)&gt;=C173,1,0),"")</f>
        <v/>
      </c>
      <c r="C173" s="6" t="str">
        <f t="shared" si="16"/>
        <v/>
      </c>
      <c r="D173" s="122"/>
      <c r="E173" s="299"/>
      <c r="F173" s="123"/>
      <c r="G173" s="227"/>
      <c r="H173" s="227"/>
      <c r="I173" s="123"/>
      <c r="J173" s="227"/>
      <c r="K173" s="694"/>
      <c r="L173" s="219"/>
      <c r="M173" s="124"/>
      <c r="N173" s="124"/>
      <c r="O173" s="124"/>
      <c r="P173" s="124"/>
      <c r="Q173" s="124"/>
      <c r="R173" s="124"/>
      <c r="S173" s="251"/>
      <c r="T173" s="251"/>
      <c r="U173" s="260"/>
      <c r="V173" s="556"/>
      <c r="W173" s="138"/>
      <c r="X173" s="522"/>
      <c r="Y173" s="522"/>
      <c r="Z173" s="522"/>
      <c r="AA173" s="522"/>
      <c r="AB173" s="522"/>
    </row>
    <row r="174" spans="1:28" x14ac:dyDescent="0.25">
      <c r="A174" s="210" t="s">
        <v>777</v>
      </c>
      <c r="B174" s="7" t="str">
        <f>IF(  AND(ISNUMBER(C174),OR(ISNUMBER(D174),D174="PG")),IF(IF(Capa!$B$6="B",0,Capa!$B$6)&gt;=C174,1,0),"")</f>
        <v/>
      </c>
      <c r="C174" s="6" t="str">
        <f t="shared" si="16"/>
        <v/>
      </c>
      <c r="D174" s="15"/>
      <c r="E174" s="395" t="s">
        <v>778</v>
      </c>
      <c r="F174" s="517"/>
      <c r="G174" s="550"/>
      <c r="H174" s="219"/>
      <c r="I174" s="23"/>
      <c r="J174" s="219"/>
      <c r="K174" s="528"/>
      <c r="L174" s="383">
        <f>IF(AND($B176=1,D176="PG"),IF(COUNTIFS($A$1:$A$236,"="&amp;$A174,$B$1:$B$236,"&gt;0",$D$1:$D$236,"&gt;0")&gt;0,
        (COUNTIFS($A$1:$A$236,"="&amp;$A174,$B$1:$B$236,"&gt;0",$D$1:$D$236,"&gt;0",F$1:F$236,"=S",I$1:I$236,"") +
         (COUNTIFS($A$1:$A$236,"="&amp;$A174,$B$1:$B$236,"&gt;0",$D$1:$D$236,"&gt;0",$F$1:$F$236,"=P",I$1:I$236,"")/2) +
         COUNTIFS($A$1:$A$236,"="&amp;$A174,$B$1:$B$236,"&gt;0",$D$1:$D$236,"&gt;0",I$1:I$236,"=S") +
         (COUNTIFS($A$1:$A$236,"="&amp;$A174,$B$1:$B$236,"&gt;0",$D$1:$D$236,"&gt;0",I$1:I$236,"=P")/2)
         )/COUNTIFS($A$1:$A$236,"="&amp;$A174,$B$1:$B$236,"&gt;0",$D$1:$D$236,"&gt;0"),1),"")</f>
        <v>0</v>
      </c>
      <c r="M174" s="380"/>
      <c r="N174" s="70"/>
      <c r="O174" s="68"/>
      <c r="P174" s="68"/>
      <c r="Q174" s="83">
        <f>IF(L174="","",MIN(IF(ISBLANK(Q176),0,Q176),IF(L174&gt;0.9,4,IF(L174&gt;0.5,3,IF(L174&gt;0.3,2,IF(OR(L174&gt;0,Q176&gt;0),1,0))))))</f>
        <v>0</v>
      </c>
      <c r="R174" s="83"/>
      <c r="S174" s="303"/>
      <c r="T174" s="292"/>
      <c r="U174" s="292"/>
      <c r="V174" s="545"/>
      <c r="W174" s="604"/>
      <c r="X174" s="579"/>
      <c r="Y174" s="579"/>
      <c r="Z174" s="579"/>
      <c r="AA174" s="579"/>
      <c r="AB174" s="579"/>
    </row>
    <row r="175" spans="1:28" ht="6" customHeight="1" x14ac:dyDescent="0.25">
      <c r="A175" s="210" t="s">
        <v>777</v>
      </c>
      <c r="B175" s="7" t="str">
        <f>IF(  AND(ISNUMBER(C175),OR(ISNUMBER(D175),D175="PG")),IF(IF(Capa!$B$6="B",0,Capa!$B$6)&gt;=C175,1,0),"")</f>
        <v/>
      </c>
      <c r="C175" s="6">
        <f t="shared" si="16"/>
        <v>0</v>
      </c>
      <c r="D175" s="5" t="s">
        <v>53</v>
      </c>
      <c r="E175" s="391"/>
      <c r="F175" s="554"/>
      <c r="G175" s="561"/>
      <c r="H175" s="239"/>
      <c r="I175" s="26"/>
      <c r="J175" s="239"/>
      <c r="K175" s="563"/>
      <c r="L175" s="213"/>
      <c r="M175" s="82"/>
      <c r="N175" s="59"/>
      <c r="O175" s="59"/>
      <c r="P175" s="59"/>
      <c r="Q175" s="59"/>
      <c r="R175" s="59"/>
      <c r="S175" s="262"/>
      <c r="T175" s="262"/>
      <c r="U175" s="355"/>
      <c r="V175" s="465"/>
      <c r="W175" s="612"/>
      <c r="X175" s="579"/>
      <c r="Y175" s="579"/>
      <c r="Z175" s="579"/>
      <c r="AA175" s="579"/>
      <c r="AB175" s="579"/>
    </row>
    <row r="176" spans="1:28" ht="106.35" customHeight="1" x14ac:dyDescent="0.25">
      <c r="A176" s="646" t="s">
        <v>777</v>
      </c>
      <c r="B176" s="7">
        <f>IF(  AND(ISNUMBER(C176),OR(ISNUMBER(D176),D176="PG")),IF(IF(Capa!$B$6="B",0,Capa!$B$6)&gt;=C176,1,0),"")</f>
        <v>1</v>
      </c>
      <c r="C176" s="6">
        <f t="shared" si="16"/>
        <v>0</v>
      </c>
      <c r="D176" s="647" t="s">
        <v>54</v>
      </c>
      <c r="E176" s="389" t="s">
        <v>779</v>
      </c>
      <c r="F176" s="513"/>
      <c r="G176" s="468"/>
      <c r="H176" s="241"/>
      <c r="I176" s="29"/>
      <c r="J176" s="239"/>
      <c r="K176" s="471"/>
      <c r="L176" s="697" t="str">
        <f>IF(OR(AND(NOT(ISBLANK(M176)),M176&lt;IF(Capa!$B$6&lt;&gt;"B",Capa!$B$6+1,1)),AND(NOT(ISBLANK(N176)),N176&lt;IF(Capa!$B$6&lt;&gt;"B",Capa!$B$6+1,1)),AND(NOT(ISBLANK(O176)),O176&lt;IF(Capa!$B$6&lt;&gt;"B",Capa!$B$6+1,1)),AND(NOT(ISBLANK(Q176)),Q176&lt;IF(Capa!$B$6&lt;&gt;"B",Capa!$B$6+1,1)),AND(NOT(ISBLANK(R176)),R176&lt;IF(Capa!$B$6&lt;&gt;"B",Capa!$B$6+1,1)),AND(NOT(ISBLANK(S176)),S176&lt;IF(Capa!$B$6&lt;&gt;"B",Capa!$B$6+1,1))),1,"")</f>
        <v/>
      </c>
      <c r="M176" s="81"/>
      <c r="N176" s="81"/>
      <c r="O176" s="81"/>
      <c r="P176" s="81"/>
      <c r="Q176" s="81"/>
      <c r="R176" s="81"/>
      <c r="S176" s="81"/>
      <c r="T176" s="81"/>
      <c r="U176" s="58"/>
      <c r="V176" s="464"/>
      <c r="W176" s="609"/>
      <c r="X176" s="666"/>
      <c r="Y176" s="522"/>
      <c r="Z176" s="522"/>
      <c r="AA176" s="522"/>
      <c r="AB176" s="522"/>
    </row>
    <row r="177" spans="1:28" ht="60" x14ac:dyDescent="0.25">
      <c r="A177" s="646" t="s">
        <v>777</v>
      </c>
      <c r="B177" s="7">
        <f>IF(  AND(ISNUMBER(C177),OR(ISNUMBER(D177),D177="PG")),IF(IF(Capa!$B$6="B",0,Capa!$B$6)&gt;=C177,1,0),"")</f>
        <v>1</v>
      </c>
      <c r="C177" s="6">
        <f t="shared" si="16"/>
        <v>0</v>
      </c>
      <c r="D177" s="647">
        <v>513</v>
      </c>
      <c r="E177" s="352" t="s">
        <v>780</v>
      </c>
      <c r="F177" s="513"/>
      <c r="G177" s="468"/>
      <c r="H177" s="241"/>
      <c r="I177" s="29"/>
      <c r="J177" s="425">
        <f t="shared" ref="J177:J186" si="23">LEN(K177)</f>
        <v>0</v>
      </c>
      <c r="K177" s="471"/>
      <c r="L177" s="697" t="str">
        <f t="shared" ref="L177:L186" si="24">IF(OR(I177="N",I177="P"),1,"")</f>
        <v/>
      </c>
      <c r="M177" s="719"/>
      <c r="N177" s="720"/>
      <c r="O177" s="720"/>
      <c r="P177" s="720"/>
      <c r="Q177" s="720"/>
      <c r="R177" s="720"/>
      <c r="S177" s="720"/>
      <c r="T177" s="721"/>
      <c r="U177" s="71"/>
      <c r="V177" s="464"/>
      <c r="W177" s="609"/>
      <c r="X177" s="522"/>
      <c r="Y177" s="522"/>
      <c r="Z177" s="522"/>
      <c r="AA177" s="522"/>
      <c r="AB177" s="522"/>
    </row>
    <row r="178" spans="1:28" ht="6" customHeight="1" x14ac:dyDescent="0.25">
      <c r="A178" s="646" t="s">
        <v>777</v>
      </c>
      <c r="B178" s="7" t="str">
        <f>IF(  AND(ISNUMBER(C178),OR(ISNUMBER(D178),D178="PG")),IF(IF(Capa!$B$6="B",0,Capa!$B$6)&gt;=C178,1,0),"")</f>
        <v/>
      </c>
      <c r="C178" s="6">
        <f t="shared" si="16"/>
        <v>1</v>
      </c>
      <c r="D178" s="647" t="s">
        <v>62</v>
      </c>
      <c r="E178" s="352"/>
      <c r="F178" s="513"/>
      <c r="G178" s="468"/>
      <c r="H178" s="241"/>
      <c r="I178" s="29"/>
      <c r="J178" s="425">
        <f t="shared" si="23"/>
        <v>0</v>
      </c>
      <c r="K178" s="471"/>
      <c r="L178" s="697" t="str">
        <f t="shared" si="24"/>
        <v/>
      </c>
      <c r="M178" s="719"/>
      <c r="N178" s="720"/>
      <c r="O178" s="720"/>
      <c r="P178" s="720"/>
      <c r="Q178" s="720"/>
      <c r="R178" s="720"/>
      <c r="S178" s="720"/>
      <c r="T178" s="721"/>
      <c r="U178" s="71"/>
      <c r="V178" s="464"/>
      <c r="W178" s="609"/>
      <c r="X178" s="522"/>
      <c r="Y178" s="522"/>
      <c r="Z178" s="522"/>
      <c r="AA178" s="522"/>
      <c r="AB178" s="522"/>
    </row>
    <row r="179" spans="1:28" ht="30" x14ac:dyDescent="0.25">
      <c r="A179" s="646" t="s">
        <v>777</v>
      </c>
      <c r="B179" s="7">
        <f>IF(  AND(ISNUMBER(C179),OR(ISNUMBER(D179),D179="PG")),IF(IF(Capa!$B$6="B",0,Capa!$B$6)&gt;=C179,1,0),"")</f>
        <v>0</v>
      </c>
      <c r="C179" s="6">
        <f t="shared" si="16"/>
        <v>1</v>
      </c>
      <c r="D179" s="647">
        <v>514</v>
      </c>
      <c r="E179" s="411" t="s">
        <v>781</v>
      </c>
      <c r="F179" s="513"/>
      <c r="G179" s="468"/>
      <c r="H179" s="241"/>
      <c r="I179" s="29"/>
      <c r="J179" s="425">
        <f t="shared" si="23"/>
        <v>0</v>
      </c>
      <c r="K179" s="471"/>
      <c r="L179" s="697" t="str">
        <f t="shared" si="24"/>
        <v/>
      </c>
      <c r="M179" s="719"/>
      <c r="N179" s="720"/>
      <c r="O179" s="720"/>
      <c r="P179" s="720"/>
      <c r="Q179" s="720"/>
      <c r="R179" s="720"/>
      <c r="S179" s="720"/>
      <c r="T179" s="721"/>
      <c r="U179" s="71"/>
      <c r="V179" s="464"/>
      <c r="W179" s="609"/>
      <c r="X179" s="522"/>
      <c r="Y179" s="522"/>
      <c r="Z179" s="522"/>
      <c r="AA179" s="522"/>
      <c r="AB179" s="522"/>
    </row>
    <row r="180" spans="1:28" ht="50.45" customHeight="1" x14ac:dyDescent="0.25">
      <c r="A180" s="646" t="s">
        <v>777</v>
      </c>
      <c r="B180" s="7">
        <f>IF(  AND(ISNUMBER(C180),OR(ISNUMBER(D180),D180="PG")),IF(IF(Capa!$B$6="B",0,Capa!$B$6)&gt;=C180,1,0),"")</f>
        <v>0</v>
      </c>
      <c r="C180" s="6">
        <f t="shared" si="16"/>
        <v>1</v>
      </c>
      <c r="D180" s="647">
        <v>515</v>
      </c>
      <c r="E180" s="352" t="s">
        <v>782</v>
      </c>
      <c r="F180" s="513"/>
      <c r="G180" s="468"/>
      <c r="H180" s="241"/>
      <c r="I180" s="29"/>
      <c r="J180" s="425">
        <f t="shared" si="23"/>
        <v>0</v>
      </c>
      <c r="K180" s="471"/>
      <c r="L180" s="697" t="str">
        <f t="shared" si="24"/>
        <v/>
      </c>
      <c r="M180" s="719"/>
      <c r="N180" s="720"/>
      <c r="O180" s="720"/>
      <c r="P180" s="720"/>
      <c r="Q180" s="720"/>
      <c r="R180" s="720"/>
      <c r="S180" s="720"/>
      <c r="T180" s="721"/>
      <c r="U180" s="71"/>
      <c r="V180" s="464"/>
      <c r="W180" s="609"/>
      <c r="X180" s="522"/>
      <c r="Y180" s="522"/>
      <c r="Z180" s="522"/>
      <c r="AA180" s="522"/>
      <c r="AB180" s="522"/>
    </row>
    <row r="181" spans="1:28" ht="6.6" customHeight="1" x14ac:dyDescent="0.25">
      <c r="A181" s="646" t="s">
        <v>777</v>
      </c>
      <c r="B181" s="7" t="str">
        <f>IF(  AND(ISNUMBER(C181),OR(ISNUMBER(D181),D181="PG")),IF(IF(Capa!$B$6="B",0,Capa!$B$6)&gt;=C181,1,0),"")</f>
        <v/>
      </c>
      <c r="C181" s="6">
        <f t="shared" si="16"/>
        <v>2</v>
      </c>
      <c r="D181" s="647" t="s">
        <v>64</v>
      </c>
      <c r="E181" s="352"/>
      <c r="F181" s="513"/>
      <c r="G181" s="468"/>
      <c r="H181" s="241"/>
      <c r="I181" s="29"/>
      <c r="J181" s="425">
        <f t="shared" si="23"/>
        <v>0</v>
      </c>
      <c r="K181" s="471"/>
      <c r="L181" s="697" t="str">
        <f t="shared" si="24"/>
        <v/>
      </c>
      <c r="M181" s="719"/>
      <c r="N181" s="720"/>
      <c r="O181" s="720"/>
      <c r="P181" s="720"/>
      <c r="Q181" s="720"/>
      <c r="R181" s="720"/>
      <c r="S181" s="720"/>
      <c r="T181" s="721"/>
      <c r="U181" s="71"/>
      <c r="V181" s="464"/>
      <c r="W181" s="609"/>
      <c r="X181" s="522"/>
      <c r="Y181" s="522"/>
      <c r="Z181" s="522"/>
      <c r="AA181" s="522"/>
      <c r="AB181" s="522"/>
    </row>
    <row r="182" spans="1:28" ht="45" x14ac:dyDescent="0.25">
      <c r="A182" s="646" t="s">
        <v>777</v>
      </c>
      <c r="B182" s="7">
        <f>IF(  AND(ISNUMBER(C182),OR(ISNUMBER(D182),D182="PG")),IF(IF(Capa!$B$6="B",0,Capa!$B$6)&gt;=C182,1,0),"")</f>
        <v>0</v>
      </c>
      <c r="C182" s="6">
        <f t="shared" si="16"/>
        <v>2</v>
      </c>
      <c r="D182" s="647">
        <v>516</v>
      </c>
      <c r="E182" s="352" t="s">
        <v>783</v>
      </c>
      <c r="F182" s="513"/>
      <c r="G182" s="468"/>
      <c r="H182" s="241"/>
      <c r="I182" s="29"/>
      <c r="J182" s="425">
        <f t="shared" si="23"/>
        <v>0</v>
      </c>
      <c r="K182" s="471"/>
      <c r="L182" s="697" t="str">
        <f t="shared" si="24"/>
        <v/>
      </c>
      <c r="M182" s="719"/>
      <c r="N182" s="720"/>
      <c r="O182" s="720"/>
      <c r="P182" s="720"/>
      <c r="Q182" s="720"/>
      <c r="R182" s="720"/>
      <c r="S182" s="720"/>
      <c r="T182" s="721"/>
      <c r="U182" s="71"/>
      <c r="V182" s="464"/>
      <c r="W182" s="609"/>
      <c r="X182" s="522"/>
      <c r="Y182" s="522"/>
      <c r="Z182" s="522"/>
      <c r="AA182" s="522"/>
      <c r="AB182" s="522"/>
    </row>
    <row r="183" spans="1:28" ht="33" customHeight="1" x14ac:dyDescent="0.25">
      <c r="A183" s="646" t="s">
        <v>777</v>
      </c>
      <c r="B183" s="7">
        <f>IF(  AND(ISNUMBER(C183),OR(ISNUMBER(D183),D183="PG")),IF(IF(Capa!$B$6="B",0,Capa!$B$6)&gt;=C183,1,0),"")</f>
        <v>0</v>
      </c>
      <c r="C183" s="6">
        <f t="shared" si="16"/>
        <v>2</v>
      </c>
      <c r="D183" s="647">
        <v>517</v>
      </c>
      <c r="E183" s="352" t="s">
        <v>784</v>
      </c>
      <c r="F183" s="513"/>
      <c r="G183" s="468"/>
      <c r="H183" s="241"/>
      <c r="I183" s="29"/>
      <c r="J183" s="425">
        <f t="shared" si="23"/>
        <v>0</v>
      </c>
      <c r="K183" s="471"/>
      <c r="L183" s="697" t="str">
        <f t="shared" si="24"/>
        <v/>
      </c>
      <c r="M183" s="719"/>
      <c r="N183" s="720"/>
      <c r="O183" s="720"/>
      <c r="P183" s="720"/>
      <c r="Q183" s="720"/>
      <c r="R183" s="720"/>
      <c r="S183" s="720"/>
      <c r="T183" s="721"/>
      <c r="U183" s="71"/>
      <c r="V183" s="464"/>
      <c r="W183" s="609"/>
      <c r="X183" s="522"/>
      <c r="Y183" s="522"/>
      <c r="Z183" s="522"/>
      <c r="AA183" s="522"/>
      <c r="AB183" s="522"/>
    </row>
    <row r="184" spans="1:28" ht="7.7" customHeight="1" x14ac:dyDescent="0.25">
      <c r="A184" s="646" t="s">
        <v>777</v>
      </c>
      <c r="B184" s="7" t="str">
        <f>IF(  AND(ISNUMBER(C184),OR(ISNUMBER(D184),D184="PG")),IF(IF(Capa!$B$6="B",0,Capa!$B$6)&gt;=C184,1,0),"")</f>
        <v/>
      </c>
      <c r="C184" s="6">
        <f t="shared" si="16"/>
        <v>3</v>
      </c>
      <c r="D184" s="647" t="s">
        <v>70</v>
      </c>
      <c r="E184" s="352"/>
      <c r="F184" s="513"/>
      <c r="G184" s="468"/>
      <c r="H184" s="241"/>
      <c r="I184" s="29"/>
      <c r="J184" s="425">
        <f t="shared" si="23"/>
        <v>0</v>
      </c>
      <c r="K184" s="471"/>
      <c r="L184" s="697" t="str">
        <f t="shared" si="24"/>
        <v/>
      </c>
      <c r="M184" s="719"/>
      <c r="N184" s="720"/>
      <c r="O184" s="720"/>
      <c r="P184" s="720"/>
      <c r="Q184" s="720"/>
      <c r="R184" s="720"/>
      <c r="S184" s="720"/>
      <c r="T184" s="721"/>
      <c r="U184" s="71"/>
      <c r="V184" s="464"/>
      <c r="W184" s="609"/>
      <c r="X184" s="522"/>
      <c r="Y184" s="522"/>
      <c r="Z184" s="522"/>
      <c r="AA184" s="522"/>
      <c r="AB184" s="522"/>
    </row>
    <row r="185" spans="1:28" ht="79.5" customHeight="1" x14ac:dyDescent="0.25">
      <c r="A185" s="646" t="s">
        <v>777</v>
      </c>
      <c r="B185" s="7">
        <f>IF(  AND(ISNUMBER(C185),OR(ISNUMBER(D185),D185="PG")),IF(IF(Capa!$B$6="B",0,Capa!$B$6)&gt;=C185,1,0),"")</f>
        <v>0</v>
      </c>
      <c r="C185" s="6">
        <f t="shared" si="16"/>
        <v>3</v>
      </c>
      <c r="D185" s="647">
        <v>518</v>
      </c>
      <c r="E185" s="352" t="s">
        <v>785</v>
      </c>
      <c r="F185" s="513"/>
      <c r="G185" s="468"/>
      <c r="H185" s="241"/>
      <c r="I185" s="29"/>
      <c r="J185" s="425">
        <f t="shared" si="23"/>
        <v>0</v>
      </c>
      <c r="K185" s="471"/>
      <c r="L185" s="697" t="str">
        <f t="shared" si="24"/>
        <v/>
      </c>
      <c r="M185" s="719"/>
      <c r="N185" s="720"/>
      <c r="O185" s="720"/>
      <c r="P185" s="720"/>
      <c r="Q185" s="720"/>
      <c r="R185" s="720"/>
      <c r="S185" s="720"/>
      <c r="T185" s="721"/>
      <c r="U185" s="71"/>
      <c r="V185" s="464"/>
      <c r="W185" s="609"/>
      <c r="X185" s="522"/>
      <c r="Y185" s="522"/>
      <c r="Z185" s="522"/>
      <c r="AA185" s="522"/>
      <c r="AB185" s="522"/>
    </row>
    <row r="186" spans="1:28" ht="45" x14ac:dyDescent="0.25">
      <c r="A186" s="646" t="s">
        <v>777</v>
      </c>
      <c r="B186" s="7">
        <f>IF(  AND(ISNUMBER(C186),OR(ISNUMBER(D186),D186="PG")),IF(IF(Capa!$B$6="B",0,Capa!$B$6)&gt;=C186,1,0),"")</f>
        <v>0</v>
      </c>
      <c r="C186" s="6">
        <f t="shared" si="16"/>
        <v>3</v>
      </c>
      <c r="D186" s="647">
        <v>519</v>
      </c>
      <c r="E186" s="352" t="s">
        <v>786</v>
      </c>
      <c r="F186" s="513"/>
      <c r="G186" s="468"/>
      <c r="H186" s="241"/>
      <c r="I186" s="29"/>
      <c r="J186" s="425">
        <f t="shared" si="23"/>
        <v>0</v>
      </c>
      <c r="K186" s="471"/>
      <c r="L186" s="697" t="str">
        <f t="shared" si="24"/>
        <v/>
      </c>
      <c r="M186" s="719"/>
      <c r="N186" s="720"/>
      <c r="O186" s="720"/>
      <c r="P186" s="720"/>
      <c r="Q186" s="720"/>
      <c r="R186" s="720"/>
      <c r="S186" s="720"/>
      <c r="T186" s="721"/>
      <c r="U186" s="71"/>
      <c r="V186" s="464"/>
      <c r="W186" s="609"/>
      <c r="X186" s="522"/>
      <c r="Y186" s="522"/>
      <c r="Z186" s="522"/>
      <c r="AA186" s="522"/>
      <c r="AB186" s="522"/>
    </row>
    <row r="187" spans="1:28" ht="11.1" customHeight="1" x14ac:dyDescent="0.25">
      <c r="B187" s="7" t="str">
        <f>IF(  AND(ISNUMBER(C187),OR(ISNUMBER(D187),D187="PG")),IF(IF(Capa!$B$6="B",0,Capa!$B$6)&gt;=C187,1,0),"")</f>
        <v/>
      </c>
      <c r="C187" s="6" t="str">
        <f t="shared" si="16"/>
        <v/>
      </c>
      <c r="D187" s="122"/>
      <c r="E187" s="299"/>
      <c r="F187" s="123"/>
      <c r="G187" s="227"/>
      <c r="H187" s="227"/>
      <c r="I187" s="123"/>
      <c r="J187" s="227"/>
      <c r="K187" s="694"/>
      <c r="L187" s="219"/>
      <c r="M187" s="124"/>
      <c r="N187" s="124"/>
      <c r="O187" s="124"/>
      <c r="P187" s="124"/>
      <c r="Q187" s="124"/>
      <c r="R187" s="124"/>
      <c r="S187" s="251"/>
      <c r="T187" s="251"/>
      <c r="U187" s="260"/>
      <c r="V187" s="556"/>
      <c r="W187" s="138"/>
      <c r="X187" s="522"/>
      <c r="Y187" s="522"/>
      <c r="Z187" s="522"/>
      <c r="AA187" s="522"/>
      <c r="AB187" s="522"/>
    </row>
    <row r="188" spans="1:28" x14ac:dyDescent="0.25">
      <c r="A188" s="210" t="s">
        <v>787</v>
      </c>
      <c r="B188" s="7" t="str">
        <f>IF(  AND(ISNUMBER(C188),OR(ISNUMBER(D188),D188="PG")),IF(IF(Capa!$B$6="B",0,Capa!$B$6)&gt;=C188,1,0),"")</f>
        <v/>
      </c>
      <c r="C188" s="6" t="str">
        <f t="shared" si="16"/>
        <v/>
      </c>
      <c r="D188" s="15"/>
      <c r="E188" s="395" t="s">
        <v>788</v>
      </c>
      <c r="F188" s="517"/>
      <c r="G188" s="550"/>
      <c r="H188" s="219"/>
      <c r="I188" s="23"/>
      <c r="J188" s="219"/>
      <c r="K188" s="528"/>
      <c r="L188" s="383" t="str">
        <f>IF(AND($B190=1,D190="PG"),IF(COUNTIFS($A$1:$A$236,"="&amp;$A188,$B$1:$B$236,"&gt;0",$D$1:$D$236,"&gt;0")&gt;0,
        (COUNTIFS($A$1:$A$236,"="&amp;$A188,$B$1:$B$236,"&gt;0",$D$1:$D$236,"&gt;0",F$1:F$236,"=S",I$1:I$236,"") +
         (COUNTIFS($A$1:$A$236,"="&amp;$A188,$B$1:$B$236,"&gt;0",$D$1:$D$236,"&gt;0",$F$1:$F$236,"=P",I$1:I$236,"")/2) +
         COUNTIFS($A$1:$A$236,"="&amp;$A188,$B$1:$B$236,"&gt;0",$D$1:$D$236,"&gt;0",I$1:I$236,"=S") +
         (COUNTIFS($A$1:$A$236,"="&amp;$A188,$B$1:$B$236,"&gt;0",$D$1:$D$236,"&gt;0",I$1:I$236,"=P")/2)
         )/COUNTIFS($A$1:$A$236,"="&amp;$A188,$B$1:$B$236,"&gt;0",$D$1:$D$236,"&gt;0"),1),"")</f>
        <v/>
      </c>
      <c r="M188" s="380"/>
      <c r="N188" s="70"/>
      <c r="O188" s="68"/>
      <c r="P188" s="68"/>
      <c r="Q188" s="83" t="str">
        <f>IF(L188="","",MIN(IF(ISBLANK(Q190),0,Q190),IF(L188&gt;0.9,4,IF(L188&gt;0.5,3,IF(L188&gt;0.3,2,IF(OR(L188&gt;0,Q190&gt;0),1,0))))))</f>
        <v/>
      </c>
      <c r="R188" s="378"/>
      <c r="S188" s="379"/>
      <c r="T188" s="459"/>
      <c r="U188" s="459"/>
      <c r="V188" s="545"/>
      <c r="W188" s="604"/>
      <c r="X188" s="579"/>
      <c r="Y188" s="579"/>
      <c r="Z188" s="579"/>
      <c r="AA188" s="579"/>
      <c r="AB188" s="579"/>
    </row>
    <row r="189" spans="1:28" ht="4.7" customHeight="1" x14ac:dyDescent="0.25">
      <c r="A189" s="210" t="s">
        <v>787</v>
      </c>
      <c r="B189" s="7" t="str">
        <f>IF(  AND(ISNUMBER(C189),OR(ISNUMBER(D189),D189="PG")),IF(IF(Capa!$B$6="B",0,Capa!$B$6)&gt;=C189,1,0),"")</f>
        <v/>
      </c>
      <c r="C189" s="6">
        <f t="shared" si="16"/>
        <v>1</v>
      </c>
      <c r="D189" s="5" t="s">
        <v>62</v>
      </c>
      <c r="E189" s="391"/>
      <c r="F189" s="554"/>
      <c r="G189" s="561"/>
      <c r="H189" s="239"/>
      <c r="I189" s="26"/>
      <c r="J189" s="239"/>
      <c r="K189" s="563"/>
      <c r="L189" s="213"/>
      <c r="M189" s="82"/>
      <c r="N189" s="59"/>
      <c r="O189" s="59"/>
      <c r="P189" s="59"/>
      <c r="Q189" s="59"/>
      <c r="R189" s="59"/>
      <c r="S189" s="262"/>
      <c r="T189" s="262"/>
      <c r="U189" s="355"/>
      <c r="V189" s="465"/>
      <c r="W189" s="608"/>
      <c r="X189" s="522"/>
      <c r="Y189" s="522"/>
      <c r="Z189" s="522"/>
      <c r="AA189" s="522"/>
      <c r="AB189" s="522"/>
    </row>
    <row r="190" spans="1:28" ht="90" x14ac:dyDescent="0.25">
      <c r="A190" s="646" t="s">
        <v>787</v>
      </c>
      <c r="B190" s="7">
        <f>IF(  AND(ISNUMBER(C190),OR(ISNUMBER(D190),D190="PG")),IF(IF(Capa!$B$6="B",0,Capa!$B$6)&gt;=C190,1,0),"")</f>
        <v>0</v>
      </c>
      <c r="C190" s="6">
        <f t="shared" si="16"/>
        <v>1</v>
      </c>
      <c r="D190" s="647" t="s">
        <v>54</v>
      </c>
      <c r="E190" s="352" t="s">
        <v>789</v>
      </c>
      <c r="F190" s="513"/>
      <c r="G190" s="468"/>
      <c r="H190" s="241"/>
      <c r="I190" s="29"/>
      <c r="J190" s="239"/>
      <c r="K190" s="471"/>
      <c r="L190" s="697" t="str">
        <f>IF(OR(AND(NOT(ISBLANK(M190)),M190&lt;IF(Capa!$B$6&lt;&gt;"B",Capa!$B$6+1,1)),AND(NOT(ISBLANK(N190)),N190&lt;IF(Capa!$B$6&lt;&gt;"B",Capa!$B$6+1,1)),AND(NOT(ISBLANK(O190)),O190&lt;IF(Capa!$B$6&lt;&gt;"B",Capa!$B$6+1,1)),AND(NOT(ISBLANK(Q190)),Q190&lt;IF(Capa!$B$6&lt;&gt;"B",Capa!$B$6+1,1)),AND(NOT(ISBLANK(R190)),R190&lt;IF(Capa!$B$6&lt;&gt;"B",Capa!$B$6+1,1)),AND(NOT(ISBLANK(S190)),S190&lt;IF(Capa!$B$6&lt;&gt;"B",Capa!$B$6+1,1))),1,"")</f>
        <v/>
      </c>
      <c r="M190" s="81"/>
      <c r="N190" s="81"/>
      <c r="O190" s="81"/>
      <c r="P190" s="81"/>
      <c r="Q190" s="81"/>
      <c r="R190" s="81"/>
      <c r="S190" s="81"/>
      <c r="T190" s="81"/>
      <c r="U190" s="58"/>
      <c r="V190" s="464"/>
      <c r="W190" s="609"/>
      <c r="X190" s="666"/>
      <c r="Y190" s="522"/>
      <c r="Z190" s="522"/>
      <c r="AA190" s="522"/>
      <c r="AB190" s="522"/>
    </row>
    <row r="191" spans="1:28" ht="30" x14ac:dyDescent="0.25">
      <c r="A191" s="646" t="s">
        <v>787</v>
      </c>
      <c r="B191" s="7">
        <f>IF(  AND(ISNUMBER(C191),OR(ISNUMBER(D191),D191="PG")),IF(IF(Capa!$B$6="B",0,Capa!$B$6)&gt;=C191,1,0),"")</f>
        <v>0</v>
      </c>
      <c r="C191" s="6">
        <f t="shared" si="16"/>
        <v>1</v>
      </c>
      <c r="D191" s="647">
        <v>520</v>
      </c>
      <c r="E191" s="352" t="s">
        <v>790</v>
      </c>
      <c r="F191" s="513"/>
      <c r="G191" s="468"/>
      <c r="H191" s="241"/>
      <c r="I191" s="29"/>
      <c r="J191" s="425">
        <f t="shared" ref="J191:J200" si="25">LEN(K191)</f>
        <v>0</v>
      </c>
      <c r="K191" s="471"/>
      <c r="L191" s="697" t="str">
        <f t="shared" ref="L191:L200" si="26">IF(OR(I191="N",I191="P"),1,"")</f>
        <v/>
      </c>
      <c r="M191" s="719"/>
      <c r="N191" s="720"/>
      <c r="O191" s="720"/>
      <c r="P191" s="720"/>
      <c r="Q191" s="720"/>
      <c r="R191" s="720"/>
      <c r="S191" s="720"/>
      <c r="T191" s="721"/>
      <c r="U191" s="71"/>
      <c r="V191" s="464"/>
      <c r="W191" s="609"/>
      <c r="X191" s="522"/>
      <c r="Y191" s="522"/>
      <c r="Z191" s="522"/>
      <c r="AA191" s="522"/>
      <c r="AB191" s="522"/>
    </row>
    <row r="192" spans="1:28" ht="30" x14ac:dyDescent="0.25">
      <c r="A192" s="646" t="s">
        <v>787</v>
      </c>
      <c r="B192" s="7">
        <f>IF(  AND(ISNUMBER(C192),OR(ISNUMBER(D192),D192="PG")),IF(IF(Capa!$B$6="B",0,Capa!$B$6)&gt;=C192,1,0),"")</f>
        <v>0</v>
      </c>
      <c r="C192" s="6">
        <f t="shared" si="16"/>
        <v>1</v>
      </c>
      <c r="D192" s="647">
        <v>521</v>
      </c>
      <c r="E192" s="352" t="s">
        <v>791</v>
      </c>
      <c r="F192" s="513"/>
      <c r="G192" s="468"/>
      <c r="H192" s="241"/>
      <c r="I192" s="29"/>
      <c r="J192" s="425">
        <f t="shared" si="25"/>
        <v>0</v>
      </c>
      <c r="K192" s="471"/>
      <c r="L192" s="697" t="str">
        <f t="shared" si="26"/>
        <v/>
      </c>
      <c r="M192" s="719"/>
      <c r="N192" s="720"/>
      <c r="O192" s="720"/>
      <c r="P192" s="720"/>
      <c r="Q192" s="720"/>
      <c r="R192" s="720"/>
      <c r="S192" s="720"/>
      <c r="T192" s="721"/>
      <c r="U192" s="71"/>
      <c r="V192" s="464"/>
      <c r="W192" s="609"/>
      <c r="X192" s="522"/>
      <c r="Y192" s="522"/>
      <c r="Z192" s="522"/>
      <c r="AA192" s="522"/>
      <c r="AB192" s="522"/>
    </row>
    <row r="193" spans="1:28" ht="6.6" customHeight="1" x14ac:dyDescent="0.25">
      <c r="A193" s="646" t="s">
        <v>787</v>
      </c>
      <c r="B193" s="7" t="str">
        <f>IF(  AND(ISNUMBER(C193),OR(ISNUMBER(D193),D193="PG")),IF(IF(Capa!$B$6="B",0,Capa!$B$6)&gt;=C193,1,0),"")</f>
        <v/>
      </c>
      <c r="C193" s="6">
        <f t="shared" si="16"/>
        <v>2</v>
      </c>
      <c r="D193" s="647" t="s">
        <v>64</v>
      </c>
      <c r="E193" s="352"/>
      <c r="F193" s="513"/>
      <c r="G193" s="468"/>
      <c r="H193" s="241"/>
      <c r="I193" s="29"/>
      <c r="J193" s="425">
        <f t="shared" si="25"/>
        <v>0</v>
      </c>
      <c r="K193" s="471"/>
      <c r="L193" s="697" t="str">
        <f t="shared" si="26"/>
        <v/>
      </c>
      <c r="M193" s="719"/>
      <c r="N193" s="720"/>
      <c r="O193" s="720"/>
      <c r="P193" s="720"/>
      <c r="Q193" s="720"/>
      <c r="R193" s="720"/>
      <c r="S193" s="720"/>
      <c r="T193" s="721"/>
      <c r="U193" s="71"/>
      <c r="V193" s="464"/>
      <c r="W193" s="609"/>
      <c r="X193" s="522"/>
      <c r="Y193" s="522"/>
      <c r="Z193" s="522"/>
      <c r="AA193" s="522"/>
      <c r="AB193" s="522"/>
    </row>
    <row r="194" spans="1:28" ht="45" x14ac:dyDescent="0.25">
      <c r="A194" s="646" t="s">
        <v>787</v>
      </c>
      <c r="B194" s="7">
        <f>IF(  AND(ISNUMBER(C194),OR(ISNUMBER(D194),D194="PG")),IF(IF(Capa!$B$6="B",0,Capa!$B$6)&gt;=C194,1,0),"")</f>
        <v>0</v>
      </c>
      <c r="C194" s="6">
        <f t="shared" si="16"/>
        <v>2</v>
      </c>
      <c r="D194" s="647">
        <v>522</v>
      </c>
      <c r="E194" s="352" t="s">
        <v>792</v>
      </c>
      <c r="F194" s="513"/>
      <c r="G194" s="468"/>
      <c r="H194" s="241"/>
      <c r="I194" s="29"/>
      <c r="J194" s="425">
        <f t="shared" si="25"/>
        <v>0</v>
      </c>
      <c r="K194" s="471"/>
      <c r="L194" s="697" t="str">
        <f t="shared" si="26"/>
        <v/>
      </c>
      <c r="M194" s="719"/>
      <c r="N194" s="720"/>
      <c r="O194" s="720"/>
      <c r="P194" s="720"/>
      <c r="Q194" s="720"/>
      <c r="R194" s="720"/>
      <c r="S194" s="720"/>
      <c r="T194" s="721"/>
      <c r="U194" s="71"/>
      <c r="V194" s="464"/>
      <c r="W194" s="609"/>
      <c r="X194" s="522"/>
      <c r="Y194" s="522"/>
      <c r="Z194" s="522"/>
      <c r="AA194" s="522"/>
      <c r="AB194" s="522"/>
    </row>
    <row r="195" spans="1:28" ht="30" x14ac:dyDescent="0.25">
      <c r="A195" s="646" t="s">
        <v>787</v>
      </c>
      <c r="B195" s="7">
        <f>IF(  AND(ISNUMBER(C195),OR(ISNUMBER(D195),D195="PG")),IF(IF(Capa!$B$6="B",0,Capa!$B$6)&gt;=C195,1,0),"")</f>
        <v>0</v>
      </c>
      <c r="C195" s="6">
        <f t="shared" si="16"/>
        <v>2</v>
      </c>
      <c r="D195" s="647">
        <v>523</v>
      </c>
      <c r="E195" s="352" t="s">
        <v>793</v>
      </c>
      <c r="F195" s="513"/>
      <c r="G195" s="468"/>
      <c r="H195" s="241"/>
      <c r="I195" s="29"/>
      <c r="J195" s="425">
        <f t="shared" si="25"/>
        <v>0</v>
      </c>
      <c r="K195" s="471"/>
      <c r="L195" s="697" t="str">
        <f t="shared" si="26"/>
        <v/>
      </c>
      <c r="M195" s="719"/>
      <c r="N195" s="720"/>
      <c r="O195" s="720"/>
      <c r="P195" s="720"/>
      <c r="Q195" s="720"/>
      <c r="R195" s="720"/>
      <c r="S195" s="720"/>
      <c r="T195" s="721"/>
      <c r="U195" s="71"/>
      <c r="V195" s="464"/>
      <c r="W195" s="609"/>
      <c r="X195" s="522"/>
      <c r="Y195" s="522"/>
      <c r="Z195" s="522"/>
      <c r="AA195" s="522"/>
      <c r="AB195" s="522"/>
    </row>
    <row r="196" spans="1:28" ht="30" x14ac:dyDescent="0.25">
      <c r="A196" s="646" t="s">
        <v>787</v>
      </c>
      <c r="B196" s="7">
        <f>IF(  AND(ISNUMBER(C196),OR(ISNUMBER(D196),D196="PG")),IF(IF(Capa!$B$6="B",0,Capa!$B$6)&gt;=C196,1,0),"")</f>
        <v>0</v>
      </c>
      <c r="C196" s="6">
        <f t="shared" si="16"/>
        <v>2</v>
      </c>
      <c r="D196" s="647">
        <v>524</v>
      </c>
      <c r="E196" s="352" t="s">
        <v>794</v>
      </c>
      <c r="F196" s="513"/>
      <c r="G196" s="468"/>
      <c r="H196" s="241"/>
      <c r="I196" s="29"/>
      <c r="J196" s="425">
        <f t="shared" si="25"/>
        <v>0</v>
      </c>
      <c r="K196" s="471"/>
      <c r="L196" s="697" t="str">
        <f t="shared" si="26"/>
        <v/>
      </c>
      <c r="M196" s="719"/>
      <c r="N196" s="720"/>
      <c r="O196" s="720"/>
      <c r="P196" s="720"/>
      <c r="Q196" s="720"/>
      <c r="R196" s="720"/>
      <c r="S196" s="720"/>
      <c r="T196" s="721"/>
      <c r="U196" s="71"/>
      <c r="V196" s="464"/>
      <c r="W196" s="609"/>
      <c r="X196" s="522"/>
      <c r="Y196" s="522"/>
      <c r="Z196" s="522"/>
      <c r="AA196" s="522"/>
      <c r="AB196" s="522"/>
    </row>
    <row r="197" spans="1:28" ht="6.6" customHeight="1" x14ac:dyDescent="0.25">
      <c r="A197" s="646" t="s">
        <v>787</v>
      </c>
      <c r="B197" s="7" t="str">
        <f>IF(  AND(ISNUMBER(C197),OR(ISNUMBER(D197),D197="PG")),IF(IF(Capa!$B$6="B",0,Capa!$B$6)&gt;=C197,1,0),"")</f>
        <v/>
      </c>
      <c r="C197" s="6">
        <f t="shared" ref="C197:C213" si="27">IF(ISBLANK(D197),"",IF(ISERR(SEARCH(D197&amp;"\","&lt;B&gt;\&lt;1&gt;\&lt;2&gt;\&lt;3&gt;\")),IF(AND(NOT(ISBLANK(C196)),C196&lt;=3),C196,""),
IF(SEARCH(D197&amp;"\","&lt;B&gt;\&lt;1&gt;\&lt;2&gt;\&lt;3&gt;\")=1,0,IF(SEARCH(D197&amp;"\","&lt;B&gt;\&lt;1&gt;\&lt;2&gt;\&lt;3&gt;\")=5,1,IF(SEARCH(D197&amp;"\","&lt;B&gt;\&lt;1&gt;\&lt;2&gt;\&lt;3&gt;\")=9,2,IF(SEARCH(D197&amp;"\","&lt;B&gt;\&lt;1&gt;\&lt;2&gt;\&lt;3&gt;\")=13,3,""))))))</f>
        <v>3</v>
      </c>
      <c r="D197" s="647" t="s">
        <v>70</v>
      </c>
      <c r="E197" s="352"/>
      <c r="F197" s="513"/>
      <c r="G197" s="468"/>
      <c r="H197" s="241"/>
      <c r="I197" s="29"/>
      <c r="J197" s="425">
        <f t="shared" si="25"/>
        <v>0</v>
      </c>
      <c r="K197" s="471"/>
      <c r="L197" s="697" t="str">
        <f t="shared" si="26"/>
        <v/>
      </c>
      <c r="M197" s="719"/>
      <c r="N197" s="720"/>
      <c r="O197" s="720"/>
      <c r="P197" s="720"/>
      <c r="Q197" s="720"/>
      <c r="R197" s="720"/>
      <c r="S197" s="720"/>
      <c r="T197" s="721"/>
      <c r="U197" s="71"/>
      <c r="V197" s="464"/>
      <c r="W197" s="609"/>
      <c r="X197" s="522"/>
      <c r="Y197" s="522"/>
      <c r="Z197" s="522"/>
      <c r="AA197" s="522"/>
      <c r="AB197" s="522"/>
    </row>
    <row r="198" spans="1:28" ht="60" x14ac:dyDescent="0.25">
      <c r="A198" s="646" t="s">
        <v>787</v>
      </c>
      <c r="B198" s="7">
        <f>IF(  AND(ISNUMBER(C198),OR(ISNUMBER(D198),D198="PG")),IF(IF(Capa!$B$6="B",0,Capa!$B$6)&gt;=C198,1,0),"")</f>
        <v>0</v>
      </c>
      <c r="C198" s="6">
        <f t="shared" si="27"/>
        <v>3</v>
      </c>
      <c r="D198" s="647">
        <v>525</v>
      </c>
      <c r="E198" s="352" t="s">
        <v>795</v>
      </c>
      <c r="F198" s="513"/>
      <c r="G198" s="468"/>
      <c r="H198" s="241"/>
      <c r="I198" s="29"/>
      <c r="J198" s="425">
        <f t="shared" si="25"/>
        <v>0</v>
      </c>
      <c r="K198" s="471"/>
      <c r="L198" s="697" t="str">
        <f t="shared" si="26"/>
        <v/>
      </c>
      <c r="M198" s="719"/>
      <c r="N198" s="720"/>
      <c r="O198" s="720"/>
      <c r="P198" s="720"/>
      <c r="Q198" s="720"/>
      <c r="R198" s="720"/>
      <c r="S198" s="720"/>
      <c r="T198" s="721"/>
      <c r="U198" s="71"/>
      <c r="V198" s="464"/>
      <c r="W198" s="609"/>
      <c r="X198" s="522"/>
      <c r="Y198" s="522"/>
      <c r="Z198" s="522"/>
      <c r="AA198" s="522"/>
      <c r="AB198" s="522"/>
    </row>
    <row r="199" spans="1:28" ht="45" x14ac:dyDescent="0.25">
      <c r="A199" s="646" t="s">
        <v>787</v>
      </c>
      <c r="B199" s="7">
        <f>IF(  AND(ISNUMBER(C199),OR(ISNUMBER(D199),D199="PG")),IF(IF(Capa!$B$6="B",0,Capa!$B$6)&gt;=C199,1,0),"")</f>
        <v>0</v>
      </c>
      <c r="C199" s="6">
        <f t="shared" si="27"/>
        <v>3</v>
      </c>
      <c r="D199" s="647">
        <v>526</v>
      </c>
      <c r="E199" s="352" t="s">
        <v>796</v>
      </c>
      <c r="F199" s="513"/>
      <c r="G199" s="468"/>
      <c r="H199" s="241"/>
      <c r="I199" s="29"/>
      <c r="J199" s="425">
        <f t="shared" si="25"/>
        <v>0</v>
      </c>
      <c r="K199" s="471"/>
      <c r="L199" s="697" t="str">
        <f t="shared" si="26"/>
        <v/>
      </c>
      <c r="M199" s="719"/>
      <c r="N199" s="720"/>
      <c r="O199" s="720"/>
      <c r="P199" s="720"/>
      <c r="Q199" s="720"/>
      <c r="R199" s="720"/>
      <c r="S199" s="720"/>
      <c r="T199" s="721"/>
      <c r="U199" s="71"/>
      <c r="V199" s="464"/>
      <c r="W199" s="609"/>
      <c r="X199" s="522"/>
      <c r="Y199" s="522"/>
      <c r="Z199" s="522"/>
      <c r="AA199" s="522"/>
      <c r="AB199" s="522"/>
    </row>
    <row r="200" spans="1:28" ht="30" x14ac:dyDescent="0.25">
      <c r="A200" s="646" t="s">
        <v>787</v>
      </c>
      <c r="B200" s="7">
        <f>IF(  AND(ISNUMBER(C200),OR(ISNUMBER(D200),D200="PG")),IF(IF(Capa!$B$6="B",0,Capa!$B$6)&gt;=C200,1,0),"")</f>
        <v>0</v>
      </c>
      <c r="C200" s="6">
        <f t="shared" si="27"/>
        <v>3</v>
      </c>
      <c r="D200" s="647">
        <v>527</v>
      </c>
      <c r="E200" s="411" t="s">
        <v>797</v>
      </c>
      <c r="F200" s="513"/>
      <c r="G200" s="468"/>
      <c r="H200" s="241"/>
      <c r="I200" s="29"/>
      <c r="J200" s="425">
        <f t="shared" si="25"/>
        <v>0</v>
      </c>
      <c r="K200" s="471"/>
      <c r="L200" s="697" t="str">
        <f t="shared" si="26"/>
        <v/>
      </c>
      <c r="M200" s="719"/>
      <c r="N200" s="720"/>
      <c r="O200" s="720"/>
      <c r="P200" s="720"/>
      <c r="Q200" s="720"/>
      <c r="R200" s="720"/>
      <c r="S200" s="720"/>
      <c r="T200" s="721"/>
      <c r="U200" s="71"/>
      <c r="V200" s="464"/>
      <c r="W200" s="609"/>
      <c r="X200" s="522"/>
      <c r="Y200" s="522"/>
      <c r="Z200" s="522"/>
      <c r="AA200" s="522"/>
      <c r="AB200" s="522"/>
    </row>
    <row r="201" spans="1:28" ht="11.1" customHeight="1" x14ac:dyDescent="0.25">
      <c r="B201" s="7" t="str">
        <f>IF(  AND(ISNUMBER(C201),OR(ISNUMBER(D201),D201="PG")),IF(IF(Capa!$B$6="B",0,Capa!$B$6)&gt;=C201,1,0),"")</f>
        <v/>
      </c>
      <c r="C201" s="6" t="str">
        <f t="shared" si="27"/>
        <v/>
      </c>
      <c r="D201" s="122"/>
      <c r="E201" s="299"/>
      <c r="F201" s="123"/>
      <c r="G201" s="227"/>
      <c r="H201" s="227"/>
      <c r="I201" s="123"/>
      <c r="J201" s="227"/>
      <c r="K201" s="694"/>
      <c r="L201" s="219"/>
      <c r="M201" s="124"/>
      <c r="N201" s="124"/>
      <c r="O201" s="124"/>
      <c r="P201" s="124"/>
      <c r="Q201" s="124"/>
      <c r="R201" s="124"/>
      <c r="S201" s="251"/>
      <c r="T201" s="251"/>
      <c r="U201" s="260"/>
      <c r="V201" s="556"/>
      <c r="W201" s="138"/>
      <c r="X201" s="522"/>
      <c r="Y201" s="522"/>
      <c r="Z201" s="522"/>
      <c r="AA201" s="522"/>
      <c r="AB201" s="522"/>
    </row>
    <row r="202" spans="1:28" x14ac:dyDescent="0.25">
      <c r="A202" s="210" t="s">
        <v>798</v>
      </c>
      <c r="B202" s="7" t="str">
        <f>IF(  AND(ISNUMBER(C202),OR(ISNUMBER(D202),D202="PG")),IF(IF(Capa!$B$6="B",0,Capa!$B$6)&gt;=C202,1,0),"")</f>
        <v/>
      </c>
      <c r="C202" s="6" t="str">
        <f t="shared" si="27"/>
        <v/>
      </c>
      <c r="D202" s="15"/>
      <c r="E202" s="395" t="s">
        <v>799</v>
      </c>
      <c r="F202" s="517"/>
      <c r="G202" s="550"/>
      <c r="H202" s="219"/>
      <c r="I202" s="23"/>
      <c r="J202" s="219"/>
      <c r="K202" s="528"/>
      <c r="L202" s="383">
        <f>IF(AND($B204=1,D204="PG"),IF(COUNTIFS($A$1:$A$236,"="&amp;$A202,$B$1:$B$236,"&gt;0",$D$1:$D$236,"&gt;0")&gt;0,
        (COUNTIFS($A$1:$A$236,"="&amp;$A202,$B$1:$B$236,"&gt;0",$D$1:$D$236,"&gt;0",F$1:F$236,"=S",I$1:I$236,"") +
         (COUNTIFS($A$1:$A$236,"="&amp;$A202,$B$1:$B$236,"&gt;0",$D$1:$D$236,"&gt;0",$F$1:$F$236,"=P",I$1:I$236,"")/2) +
         COUNTIFS($A$1:$A$236,"="&amp;$A202,$B$1:$B$236,"&gt;0",$D$1:$D$236,"&gt;0",I$1:I$236,"=S") +
         (COUNTIFS($A$1:$A$236,"="&amp;$A202,$B$1:$B$236,"&gt;0",$D$1:$D$236,"&gt;0",I$1:I$236,"=P")/2)
         )/COUNTIFS($A$1:$A$236,"="&amp;$A202,$B$1:$B$236,"&gt;0",$D$1:$D$236,"&gt;0"),1),"")</f>
        <v>0</v>
      </c>
      <c r="M202" s="380"/>
      <c r="N202" s="70"/>
      <c r="O202" s="68"/>
      <c r="P202" s="68"/>
      <c r="Q202" s="83">
        <f>IF(L202="","",MIN(IF(ISBLANK(Q204),0,Q204),IF(L202&gt;0.9,4,IF(L202&gt;0.5,3,IF(L202&gt;0.3,2,IF(OR(L202&gt;0,Q204&gt;0),1,0))))))</f>
        <v>0</v>
      </c>
      <c r="R202" s="83"/>
      <c r="S202" s="303"/>
      <c r="T202" s="292"/>
      <c r="U202" s="292"/>
      <c r="V202" s="545"/>
      <c r="W202" s="604"/>
      <c r="X202" s="579"/>
      <c r="Y202" s="579"/>
      <c r="Z202" s="579"/>
      <c r="AA202" s="579"/>
      <c r="AB202" s="579"/>
    </row>
    <row r="203" spans="1:28" ht="6" customHeight="1" x14ac:dyDescent="0.25">
      <c r="A203" s="210" t="s">
        <v>798</v>
      </c>
      <c r="B203" s="7" t="str">
        <f>IF(  AND(ISNUMBER(C203),OR(ISNUMBER(D203),D203="PG")),IF(IF(Capa!$B$6="B",0,Capa!$B$6)&gt;=C203,1,0),"")</f>
        <v/>
      </c>
      <c r="C203" s="6">
        <f t="shared" si="27"/>
        <v>0</v>
      </c>
      <c r="D203" s="5" t="s">
        <v>53</v>
      </c>
      <c r="E203" s="391"/>
      <c r="F203" s="554"/>
      <c r="G203" s="561"/>
      <c r="H203" s="239"/>
      <c r="I203" s="26"/>
      <c r="J203" s="239"/>
      <c r="K203" s="563"/>
      <c r="L203" s="213"/>
      <c r="M203" s="82"/>
      <c r="N203" s="59"/>
      <c r="O203" s="59"/>
      <c r="P203" s="59"/>
      <c r="Q203" s="59"/>
      <c r="R203" s="59"/>
      <c r="S203" s="262"/>
      <c r="T203" s="262"/>
      <c r="U203" s="355"/>
      <c r="V203" s="465"/>
      <c r="W203" s="608"/>
      <c r="X203" s="522"/>
      <c r="Y203" s="522"/>
      <c r="Z203" s="522"/>
      <c r="AA203" s="522"/>
      <c r="AB203" s="522"/>
    </row>
    <row r="204" spans="1:28" ht="89.25" x14ac:dyDescent="0.25">
      <c r="A204" s="646" t="s">
        <v>798</v>
      </c>
      <c r="B204" s="7">
        <f>IF(  AND(ISNUMBER(C204),OR(ISNUMBER(D204),D204="PG")),IF(IF(Capa!$B$6="B",0,Capa!$B$6)&gt;=C204,1,0),"")</f>
        <v>1</v>
      </c>
      <c r="C204" s="6">
        <f t="shared" si="27"/>
        <v>0</v>
      </c>
      <c r="D204" s="647" t="s">
        <v>54</v>
      </c>
      <c r="E204" s="389" t="s">
        <v>800</v>
      </c>
      <c r="F204" s="513"/>
      <c r="G204" s="468"/>
      <c r="H204" s="241"/>
      <c r="I204" s="29"/>
      <c r="J204" s="239"/>
      <c r="K204" s="471"/>
      <c r="L204" s="697" t="str">
        <f>IF(OR(AND(NOT(ISBLANK(M204)),M204&lt;IF(Capa!$B$6&lt;&gt;"B",Capa!$B$6+1,1)),AND(NOT(ISBLANK(N204)),N204&lt;IF(Capa!$B$6&lt;&gt;"B",Capa!$B$6+1,1)),AND(NOT(ISBLANK(O204)),O204&lt;IF(Capa!$B$6&lt;&gt;"B",Capa!$B$6+1,1)),AND(NOT(ISBLANK(Q204)),Q204&lt;IF(Capa!$B$6&lt;&gt;"B",Capa!$B$6+1,1)),AND(NOT(ISBLANK(R204)),R204&lt;IF(Capa!$B$6&lt;&gt;"B",Capa!$B$6+1,1)),AND(NOT(ISBLANK(S204)),S204&lt;IF(Capa!$B$6&lt;&gt;"B",Capa!$B$6+1,1))),1,"")</f>
        <v/>
      </c>
      <c r="M204" s="81"/>
      <c r="N204" s="81"/>
      <c r="O204" s="81"/>
      <c r="P204" s="81"/>
      <c r="Q204" s="81"/>
      <c r="R204" s="81"/>
      <c r="S204" s="81"/>
      <c r="T204" s="81"/>
      <c r="U204" s="58"/>
      <c r="V204" s="464"/>
      <c r="W204" s="609"/>
      <c r="X204" s="666"/>
      <c r="Y204" s="522"/>
      <c r="Z204" s="522"/>
      <c r="AA204" s="522"/>
      <c r="AB204" s="522"/>
    </row>
    <row r="205" spans="1:28" ht="30" x14ac:dyDescent="0.25">
      <c r="A205" s="646" t="s">
        <v>798</v>
      </c>
      <c r="B205" s="7">
        <f>IF(  AND(ISNUMBER(C205),OR(ISNUMBER(D205),D205="PG")),IF(IF(Capa!$B$6="B",0,Capa!$B$6)&gt;=C205,1,0),"")</f>
        <v>1</v>
      </c>
      <c r="C205" s="6">
        <f t="shared" si="27"/>
        <v>0</v>
      </c>
      <c r="D205" s="647">
        <v>528</v>
      </c>
      <c r="E205" s="352" t="s">
        <v>801</v>
      </c>
      <c r="F205" s="513"/>
      <c r="G205" s="468"/>
      <c r="H205" s="241"/>
      <c r="I205" s="29"/>
      <c r="J205" s="425">
        <f t="shared" ref="J205:J213" si="28">LEN(K205)</f>
        <v>0</v>
      </c>
      <c r="K205" s="471"/>
      <c r="L205" s="697" t="str">
        <f t="shared" ref="L205:L213" si="29">IF(OR(I205="N",I205="P"),1,"")</f>
        <v/>
      </c>
      <c r="M205" s="719"/>
      <c r="N205" s="720"/>
      <c r="O205" s="720"/>
      <c r="P205" s="720"/>
      <c r="Q205" s="720"/>
      <c r="R205" s="720"/>
      <c r="S205" s="720"/>
      <c r="T205" s="721"/>
      <c r="U205" s="71"/>
      <c r="V205" s="464"/>
      <c r="W205" s="609"/>
      <c r="X205" s="522"/>
      <c r="Y205" s="522"/>
      <c r="Z205" s="522"/>
      <c r="AA205" s="522"/>
      <c r="AB205" s="522"/>
    </row>
    <row r="206" spans="1:28" ht="7.35" customHeight="1" x14ac:dyDescent="0.25">
      <c r="A206" s="646" t="s">
        <v>798</v>
      </c>
      <c r="B206" s="7" t="str">
        <f>IF(  AND(ISNUMBER(C206),OR(ISNUMBER(D206),D206="PG")),IF(IF(Capa!$B$6="B",0,Capa!$B$6)&gt;=C206,1,0),"")</f>
        <v/>
      </c>
      <c r="C206" s="6">
        <f t="shared" si="27"/>
        <v>1</v>
      </c>
      <c r="D206" s="647" t="s">
        <v>62</v>
      </c>
      <c r="E206" s="352"/>
      <c r="F206" s="513"/>
      <c r="G206" s="468"/>
      <c r="H206" s="241"/>
      <c r="I206" s="29"/>
      <c r="J206" s="425">
        <f t="shared" si="28"/>
        <v>0</v>
      </c>
      <c r="K206" s="471"/>
      <c r="L206" s="697" t="str">
        <f t="shared" si="29"/>
        <v/>
      </c>
      <c r="M206" s="719"/>
      <c r="N206" s="720"/>
      <c r="O206" s="720"/>
      <c r="P206" s="720"/>
      <c r="Q206" s="720"/>
      <c r="R206" s="720"/>
      <c r="S206" s="720"/>
      <c r="T206" s="721"/>
      <c r="U206" s="71"/>
      <c r="V206" s="464"/>
      <c r="W206" s="609"/>
      <c r="X206" s="522"/>
      <c r="Y206" s="522"/>
      <c r="Z206" s="522"/>
      <c r="AA206" s="522"/>
      <c r="AB206" s="522"/>
    </row>
    <row r="207" spans="1:28" ht="45" x14ac:dyDescent="0.25">
      <c r="A207" s="646" t="s">
        <v>798</v>
      </c>
      <c r="B207" s="7">
        <f>IF(  AND(ISNUMBER(C207),OR(ISNUMBER(D207),D207="PG")),IF(IF(Capa!$B$6="B",0,Capa!$B$6)&gt;=C207,1,0),"")</f>
        <v>0</v>
      </c>
      <c r="C207" s="6">
        <f t="shared" si="27"/>
        <v>1</v>
      </c>
      <c r="D207" s="647">
        <v>529</v>
      </c>
      <c r="E207" s="352" t="s">
        <v>802</v>
      </c>
      <c r="F207" s="513"/>
      <c r="G207" s="468"/>
      <c r="H207" s="241"/>
      <c r="I207" s="29"/>
      <c r="J207" s="425">
        <f t="shared" si="28"/>
        <v>0</v>
      </c>
      <c r="K207" s="471"/>
      <c r="L207" s="697" t="str">
        <f t="shared" si="29"/>
        <v/>
      </c>
      <c r="M207" s="719"/>
      <c r="N207" s="720"/>
      <c r="O207" s="720"/>
      <c r="P207" s="720"/>
      <c r="Q207" s="720"/>
      <c r="R207" s="720"/>
      <c r="S207" s="720"/>
      <c r="T207" s="721"/>
      <c r="U207" s="71"/>
      <c r="V207" s="464"/>
      <c r="W207" s="609"/>
      <c r="X207" s="522"/>
      <c r="Y207" s="522"/>
      <c r="Z207" s="522"/>
      <c r="AA207" s="522"/>
      <c r="AB207" s="522"/>
    </row>
    <row r="208" spans="1:28" ht="45" x14ac:dyDescent="0.25">
      <c r="A208" s="646" t="s">
        <v>798</v>
      </c>
      <c r="B208" s="7">
        <f>IF(  AND(ISNUMBER(C208),OR(ISNUMBER(D208),D208="PG")),IF(IF(Capa!$B$6="B",0,Capa!$B$6)&gt;=C208,1,0),"")</f>
        <v>0</v>
      </c>
      <c r="C208" s="6">
        <f t="shared" si="27"/>
        <v>1</v>
      </c>
      <c r="D208" s="647">
        <v>530</v>
      </c>
      <c r="E208" s="352" t="s">
        <v>803</v>
      </c>
      <c r="F208" s="513"/>
      <c r="G208" s="468"/>
      <c r="H208" s="241"/>
      <c r="I208" s="29"/>
      <c r="J208" s="425">
        <f t="shared" si="28"/>
        <v>0</v>
      </c>
      <c r="K208" s="471"/>
      <c r="L208" s="697" t="str">
        <f t="shared" si="29"/>
        <v/>
      </c>
      <c r="M208" s="719"/>
      <c r="N208" s="720"/>
      <c r="O208" s="720"/>
      <c r="P208" s="720"/>
      <c r="Q208" s="720"/>
      <c r="R208" s="720"/>
      <c r="S208" s="720"/>
      <c r="T208" s="721"/>
      <c r="U208" s="71"/>
      <c r="V208" s="464"/>
      <c r="W208" s="609"/>
      <c r="X208" s="522"/>
      <c r="Y208" s="522"/>
      <c r="Z208" s="522"/>
      <c r="AA208" s="522"/>
      <c r="AB208" s="522"/>
    </row>
    <row r="209" spans="1:28" ht="45" x14ac:dyDescent="0.25">
      <c r="A209" s="646" t="s">
        <v>798</v>
      </c>
      <c r="B209" s="7">
        <f>IF(  AND(ISNUMBER(C209),OR(ISNUMBER(D209),D209="PG")),IF(IF(Capa!$B$6="B",0,Capa!$B$6)&gt;=C209,1,0),"")</f>
        <v>0</v>
      </c>
      <c r="C209" s="6">
        <f t="shared" si="27"/>
        <v>1</v>
      </c>
      <c r="D209" s="647">
        <v>531</v>
      </c>
      <c r="E209" s="352" t="s">
        <v>804</v>
      </c>
      <c r="F209" s="513"/>
      <c r="G209" s="468"/>
      <c r="H209" s="241"/>
      <c r="I209" s="29"/>
      <c r="J209" s="425">
        <f t="shared" si="28"/>
        <v>0</v>
      </c>
      <c r="K209" s="471"/>
      <c r="L209" s="697" t="str">
        <f t="shared" si="29"/>
        <v/>
      </c>
      <c r="M209" s="719"/>
      <c r="N209" s="720"/>
      <c r="O209" s="720"/>
      <c r="P209" s="720"/>
      <c r="Q209" s="720"/>
      <c r="R209" s="720"/>
      <c r="S209" s="720"/>
      <c r="T209" s="721"/>
      <c r="U209" s="71"/>
      <c r="V209" s="464"/>
      <c r="W209" s="609"/>
      <c r="X209" s="522"/>
      <c r="Y209" s="522"/>
      <c r="Z209" s="522"/>
      <c r="AA209" s="522"/>
      <c r="AB209" s="522"/>
    </row>
    <row r="210" spans="1:28" ht="6.6" customHeight="1" x14ac:dyDescent="0.25">
      <c r="A210" s="646" t="s">
        <v>798</v>
      </c>
      <c r="B210" s="7" t="str">
        <f>IF(  AND(ISNUMBER(C210),OR(ISNUMBER(D210),D210="PG")),IF(IF(Capa!$B$6="B",0,Capa!$B$6)&gt;=C210,1,0),"")</f>
        <v/>
      </c>
      <c r="C210" s="6">
        <f t="shared" si="27"/>
        <v>2</v>
      </c>
      <c r="D210" s="647" t="s">
        <v>64</v>
      </c>
      <c r="E210" s="352"/>
      <c r="F210" s="513"/>
      <c r="G210" s="468"/>
      <c r="H210" s="241"/>
      <c r="I210" s="29"/>
      <c r="J210" s="425">
        <f t="shared" si="28"/>
        <v>0</v>
      </c>
      <c r="K210" s="471"/>
      <c r="L210" s="697" t="str">
        <f t="shared" si="29"/>
        <v/>
      </c>
      <c r="M210" s="719"/>
      <c r="N210" s="720"/>
      <c r="O210" s="720"/>
      <c r="P210" s="720"/>
      <c r="Q210" s="720"/>
      <c r="R210" s="720"/>
      <c r="S210" s="720"/>
      <c r="T210" s="721"/>
      <c r="U210" s="71"/>
      <c r="V210" s="464"/>
      <c r="W210" s="609"/>
      <c r="X210" s="522"/>
      <c r="Y210" s="522"/>
      <c r="Z210" s="522"/>
      <c r="AA210" s="522"/>
      <c r="AB210" s="522"/>
    </row>
    <row r="211" spans="1:28" ht="30" x14ac:dyDescent="0.25">
      <c r="A211" s="646" t="s">
        <v>798</v>
      </c>
      <c r="B211" s="7">
        <f>IF(  AND(ISNUMBER(C211),OR(ISNUMBER(D211),D211="PG")),IF(IF(Capa!$B$6="B",0,Capa!$B$6)&gt;=C211,1,0),"")</f>
        <v>0</v>
      </c>
      <c r="C211" s="6">
        <f t="shared" si="27"/>
        <v>2</v>
      </c>
      <c r="D211" s="647">
        <v>532</v>
      </c>
      <c r="E211" s="352" t="s">
        <v>805</v>
      </c>
      <c r="F211" s="513"/>
      <c r="G211" s="468"/>
      <c r="H211" s="241"/>
      <c r="I211" s="29"/>
      <c r="J211" s="425">
        <f t="shared" si="28"/>
        <v>0</v>
      </c>
      <c r="K211" s="471"/>
      <c r="L211" s="697" t="str">
        <f t="shared" si="29"/>
        <v/>
      </c>
      <c r="M211" s="719"/>
      <c r="N211" s="720"/>
      <c r="O211" s="720"/>
      <c r="P211" s="720"/>
      <c r="Q211" s="720"/>
      <c r="R211" s="720"/>
      <c r="S211" s="720"/>
      <c r="T211" s="721"/>
      <c r="U211" s="71"/>
      <c r="V211" s="464"/>
      <c r="W211" s="609"/>
      <c r="X211" s="522"/>
      <c r="Y211" s="522"/>
      <c r="Z211" s="522"/>
      <c r="AA211" s="522"/>
      <c r="AB211" s="522"/>
    </row>
    <row r="212" spans="1:28" ht="6.6" customHeight="1" x14ac:dyDescent="0.25">
      <c r="A212" s="646" t="s">
        <v>798</v>
      </c>
      <c r="B212" s="7" t="str">
        <f>IF(  AND(ISNUMBER(C212),OR(ISNUMBER(D212),D212="PG")),IF(IF(Capa!$B$6="B",0,Capa!$B$6)&gt;=C212,1,0),"")</f>
        <v/>
      </c>
      <c r="C212" s="6">
        <f t="shared" si="27"/>
        <v>3</v>
      </c>
      <c r="D212" s="647" t="s">
        <v>70</v>
      </c>
      <c r="E212" s="352"/>
      <c r="F212" s="513"/>
      <c r="G212" s="468"/>
      <c r="H212" s="241"/>
      <c r="I212" s="29"/>
      <c r="J212" s="425">
        <f t="shared" si="28"/>
        <v>0</v>
      </c>
      <c r="K212" s="471"/>
      <c r="L212" s="697" t="str">
        <f t="shared" si="29"/>
        <v/>
      </c>
      <c r="M212" s="719"/>
      <c r="N212" s="720"/>
      <c r="O212" s="720"/>
      <c r="P212" s="720"/>
      <c r="Q212" s="720"/>
      <c r="R212" s="720"/>
      <c r="S212" s="720"/>
      <c r="T212" s="721"/>
      <c r="U212" s="71"/>
      <c r="V212" s="464"/>
      <c r="W212" s="609"/>
      <c r="X212" s="522"/>
      <c r="Y212" s="522"/>
      <c r="Z212" s="522"/>
      <c r="AA212" s="522"/>
      <c r="AB212" s="522"/>
    </row>
    <row r="213" spans="1:28" ht="45" x14ac:dyDescent="0.25">
      <c r="A213" s="646" t="s">
        <v>798</v>
      </c>
      <c r="B213" s="7">
        <f>IF(  AND(ISNUMBER(C213),OR(ISNUMBER(D213),D213="PG")),IF(IF(Capa!$B$6="B",0,Capa!$B$6)&gt;=C213,1,0),"")</f>
        <v>0</v>
      </c>
      <c r="C213" s="6">
        <f t="shared" si="27"/>
        <v>3</v>
      </c>
      <c r="D213" s="649">
        <v>533</v>
      </c>
      <c r="E213" s="390" t="s">
        <v>806</v>
      </c>
      <c r="F213" s="513"/>
      <c r="G213" s="468"/>
      <c r="H213" s="241"/>
      <c r="I213" s="29"/>
      <c r="J213" s="425">
        <f t="shared" si="28"/>
        <v>0</v>
      </c>
      <c r="K213" s="471"/>
      <c r="L213" s="697" t="str">
        <f t="shared" si="29"/>
        <v/>
      </c>
      <c r="M213" s="719"/>
      <c r="N213" s="720"/>
      <c r="O213" s="720"/>
      <c r="P213" s="720"/>
      <c r="Q213" s="720"/>
      <c r="R213" s="720"/>
      <c r="S213" s="720"/>
      <c r="T213" s="721"/>
      <c r="U213" s="71"/>
      <c r="V213" s="464"/>
      <c r="W213" s="610"/>
      <c r="X213" s="522"/>
      <c r="Y213" s="522"/>
      <c r="Z213" s="522"/>
      <c r="AA213" s="522"/>
      <c r="AB213" s="522"/>
    </row>
    <row r="214" spans="1:28" ht="11.1" customHeight="1" x14ac:dyDescent="0.25">
      <c r="B214" s="7"/>
      <c r="C214" s="118"/>
      <c r="D214" s="122"/>
      <c r="E214" s="299"/>
      <c r="F214" s="123"/>
      <c r="G214" s="227"/>
      <c r="H214" s="227"/>
      <c r="I214" s="123"/>
      <c r="J214" s="227"/>
      <c r="K214" s="245"/>
      <c r="L214" s="219"/>
      <c r="M214" s="129"/>
      <c r="N214" s="129"/>
      <c r="O214" s="129"/>
      <c r="P214" s="129"/>
      <c r="Q214" s="129"/>
      <c r="R214" s="129"/>
      <c r="S214" s="247"/>
      <c r="T214" s="247"/>
      <c r="U214" s="282"/>
      <c r="V214" s="556"/>
      <c r="W214" s="138"/>
      <c r="X214" s="522"/>
      <c r="Y214" s="522"/>
      <c r="Z214" s="522"/>
      <c r="AA214" s="522"/>
      <c r="AB214" s="522"/>
    </row>
    <row r="215" spans="1:28" s="214" customFormat="1" ht="20.25" customHeight="1" x14ac:dyDescent="0.25">
      <c r="A215" s="266"/>
      <c r="B215" s="266"/>
      <c r="C215" s="54"/>
      <c r="D215" s="267"/>
      <c r="E215" s="268"/>
      <c r="F215" s="55"/>
      <c r="G215" s="269"/>
      <c r="H215" s="269"/>
      <c r="I215" s="55"/>
      <c r="J215" s="269"/>
      <c r="K215" s="270"/>
      <c r="L215" s="269"/>
      <c r="M215" s="62"/>
      <c r="N215" s="62"/>
      <c r="O215" s="62"/>
      <c r="P215" s="62"/>
      <c r="Q215" s="62"/>
      <c r="R215" s="62"/>
      <c r="W215" s="77"/>
    </row>
    <row r="216" spans="1:28" s="214" customFormat="1" ht="20.25" customHeight="1" x14ac:dyDescent="0.25">
      <c r="A216" s="266"/>
      <c r="B216" s="266"/>
      <c r="C216" s="54"/>
      <c r="D216" s="267"/>
      <c r="E216" s="268"/>
      <c r="F216" s="55"/>
      <c r="G216" s="269"/>
      <c r="H216" s="269"/>
      <c r="I216" s="55"/>
      <c r="J216" s="269"/>
      <c r="K216" s="270"/>
      <c r="L216" s="269"/>
      <c r="M216" s="62"/>
      <c r="N216" s="62"/>
      <c r="O216" s="62"/>
      <c r="P216" s="62"/>
      <c r="Q216" s="62"/>
      <c r="R216" s="62"/>
      <c r="W216" s="77"/>
    </row>
    <row r="217" spans="1:28" s="214" customFormat="1" x14ac:dyDescent="0.25">
      <c r="A217" s="266"/>
      <c r="B217" s="266"/>
      <c r="C217" s="54"/>
      <c r="D217" s="267"/>
      <c r="E217" s="268"/>
      <c r="F217" s="55"/>
      <c r="G217" s="269"/>
      <c r="H217" s="269"/>
      <c r="I217" s="55"/>
      <c r="J217" s="269"/>
      <c r="K217" s="270"/>
      <c r="L217" s="269"/>
      <c r="M217" s="62"/>
      <c r="N217" s="62"/>
      <c r="O217" s="62"/>
      <c r="P217" s="62"/>
      <c r="Q217" s="62"/>
      <c r="R217" s="62"/>
      <c r="W217" s="77"/>
    </row>
    <row r="218" spans="1:28" s="214" customFormat="1" x14ac:dyDescent="0.25">
      <c r="A218" s="266"/>
      <c r="B218" s="266"/>
      <c r="C218" s="54"/>
      <c r="D218" s="267"/>
      <c r="E218" s="268"/>
      <c r="F218" s="55"/>
      <c r="G218" s="269"/>
      <c r="H218" s="269"/>
      <c r="I218" s="55"/>
      <c r="J218" s="269"/>
      <c r="K218" s="270"/>
      <c r="L218" s="269"/>
      <c r="M218" s="62"/>
      <c r="N218" s="62"/>
      <c r="O218" s="62"/>
      <c r="P218" s="62"/>
      <c r="Q218" s="62"/>
      <c r="R218" s="62"/>
      <c r="W218" s="77"/>
    </row>
    <row r="219" spans="1:28" s="214" customFormat="1" x14ac:dyDescent="0.25">
      <c r="A219" s="266"/>
      <c r="B219" s="266"/>
      <c r="C219" s="54"/>
      <c r="D219" s="267"/>
      <c r="E219" s="268"/>
      <c r="F219" s="55"/>
      <c r="G219" s="269"/>
      <c r="H219" s="269"/>
      <c r="I219" s="55"/>
      <c r="J219" s="269"/>
      <c r="K219" s="270"/>
      <c r="L219" s="269"/>
      <c r="M219" s="62"/>
      <c r="N219" s="62"/>
      <c r="O219" s="62"/>
      <c r="P219" s="62"/>
      <c r="Q219" s="62"/>
      <c r="R219" s="62"/>
      <c r="W219" s="77"/>
    </row>
    <row r="220" spans="1:28" s="214" customFormat="1" x14ac:dyDescent="0.25">
      <c r="A220" s="266"/>
      <c r="B220" s="266"/>
      <c r="C220" s="54"/>
      <c r="D220" s="267"/>
      <c r="E220" s="268"/>
      <c r="F220" s="55"/>
      <c r="G220" s="269"/>
      <c r="H220" s="269"/>
      <c r="I220" s="55"/>
      <c r="J220" s="269"/>
      <c r="K220" s="270"/>
      <c r="L220" s="269"/>
      <c r="M220" s="62"/>
      <c r="N220" s="62"/>
      <c r="O220" s="62"/>
      <c r="P220" s="62"/>
      <c r="Q220" s="62"/>
      <c r="R220" s="62"/>
      <c r="W220" s="77"/>
    </row>
    <row r="221" spans="1:28" s="214" customFormat="1" x14ac:dyDescent="0.25">
      <c r="A221" s="266"/>
      <c r="B221" s="266"/>
      <c r="C221" s="54"/>
      <c r="D221" s="267"/>
      <c r="E221" s="268"/>
      <c r="F221" s="55"/>
      <c r="G221" s="269"/>
      <c r="H221" s="269"/>
      <c r="I221" s="55"/>
      <c r="J221" s="269"/>
      <c r="K221" s="270"/>
      <c r="L221" s="269"/>
      <c r="M221" s="62"/>
      <c r="N221" s="62"/>
      <c r="O221" s="62"/>
      <c r="P221" s="62"/>
      <c r="Q221" s="62"/>
      <c r="R221" s="62"/>
      <c r="W221" s="77"/>
    </row>
    <row r="222" spans="1:28" s="214" customFormat="1" x14ac:dyDescent="0.25">
      <c r="A222" s="266"/>
      <c r="B222" s="266"/>
      <c r="C222" s="54"/>
      <c r="D222" s="267"/>
      <c r="E222" s="268"/>
      <c r="F222" s="55"/>
      <c r="G222" s="269"/>
      <c r="H222" s="269"/>
      <c r="I222" s="55"/>
      <c r="J222" s="269"/>
      <c r="K222" s="270"/>
      <c r="L222" s="269"/>
      <c r="M222" s="62"/>
      <c r="N222" s="62"/>
      <c r="O222" s="62"/>
      <c r="P222" s="62"/>
      <c r="Q222" s="62"/>
      <c r="R222" s="62"/>
      <c r="W222" s="77"/>
    </row>
    <row r="223" spans="1:28" s="214" customFormat="1" x14ac:dyDescent="0.25">
      <c r="A223" s="266"/>
      <c r="B223" s="266"/>
      <c r="C223" s="54"/>
      <c r="D223" s="267"/>
      <c r="E223" s="268"/>
      <c r="F223" s="55"/>
      <c r="G223" s="269"/>
      <c r="H223" s="269"/>
      <c r="I223" s="55"/>
      <c r="J223" s="269"/>
      <c r="K223" s="270"/>
      <c r="L223" s="269"/>
      <c r="M223" s="62"/>
      <c r="N223" s="62"/>
      <c r="O223" s="62"/>
      <c r="P223" s="62"/>
      <c r="Q223" s="62"/>
      <c r="R223" s="62"/>
      <c r="W223" s="77"/>
    </row>
    <row r="224" spans="1:28" s="214" customFormat="1" x14ac:dyDescent="0.25">
      <c r="A224" s="266"/>
      <c r="B224" s="266"/>
      <c r="C224" s="54"/>
      <c r="D224" s="267"/>
      <c r="E224" s="268"/>
      <c r="F224" s="55"/>
      <c r="G224" s="269"/>
      <c r="H224" s="269"/>
      <c r="I224" s="55"/>
      <c r="J224" s="269"/>
      <c r="K224" s="270"/>
      <c r="L224" s="269"/>
      <c r="M224" s="62"/>
      <c r="N224" s="62"/>
      <c r="O224" s="62"/>
      <c r="P224" s="62"/>
      <c r="Q224" s="62"/>
      <c r="R224" s="62"/>
      <c r="W224" s="77"/>
    </row>
    <row r="225" spans="1:23" s="214" customFormat="1" x14ac:dyDescent="0.25">
      <c r="A225" s="266"/>
      <c r="B225" s="266"/>
      <c r="C225" s="54"/>
      <c r="D225" s="267"/>
      <c r="E225" s="268"/>
      <c r="F225" s="55"/>
      <c r="G225" s="269"/>
      <c r="H225" s="269"/>
      <c r="I225" s="55"/>
      <c r="J225" s="269"/>
      <c r="K225" s="270"/>
      <c r="L225" s="269"/>
      <c r="M225" s="62"/>
      <c r="N225" s="62"/>
      <c r="O225" s="62"/>
      <c r="P225" s="62"/>
      <c r="Q225" s="62"/>
      <c r="R225" s="62"/>
      <c r="W225" s="77"/>
    </row>
    <row r="226" spans="1:23" s="214" customFormat="1" x14ac:dyDescent="0.25">
      <c r="A226" s="266"/>
      <c r="B226" s="266"/>
      <c r="C226" s="54"/>
      <c r="D226" s="267"/>
      <c r="E226" s="268"/>
      <c r="F226" s="55"/>
      <c r="G226" s="269"/>
      <c r="H226" s="269"/>
      <c r="I226" s="55"/>
      <c r="J226" s="269"/>
      <c r="K226" s="270"/>
      <c r="L226" s="269"/>
      <c r="M226" s="62"/>
      <c r="N226" s="62"/>
      <c r="O226" s="62"/>
      <c r="P226" s="62"/>
      <c r="Q226" s="62"/>
      <c r="R226" s="62"/>
      <c r="W226" s="77"/>
    </row>
    <row r="227" spans="1:23" s="214" customFormat="1" x14ac:dyDescent="0.25">
      <c r="A227" s="266"/>
      <c r="B227" s="266"/>
      <c r="C227" s="54"/>
      <c r="D227" s="267"/>
      <c r="E227" s="268"/>
      <c r="F227" s="55"/>
      <c r="G227" s="269"/>
      <c r="H227" s="269"/>
      <c r="I227" s="55"/>
      <c r="J227" s="269"/>
      <c r="K227" s="270"/>
      <c r="L227" s="269"/>
      <c r="M227" s="62"/>
      <c r="N227" s="62"/>
      <c r="O227" s="62"/>
      <c r="P227" s="62"/>
      <c r="Q227" s="62"/>
      <c r="R227" s="62"/>
      <c r="W227" s="77"/>
    </row>
    <row r="228" spans="1:23" s="214" customFormat="1" x14ac:dyDescent="0.25">
      <c r="A228" s="266"/>
      <c r="B228" s="266"/>
      <c r="C228" s="54"/>
      <c r="D228" s="267"/>
      <c r="E228" s="268"/>
      <c r="F228" s="55"/>
      <c r="G228" s="269"/>
      <c r="H228" s="269"/>
      <c r="I228" s="55"/>
      <c r="J228" s="269"/>
      <c r="K228" s="270"/>
      <c r="L228" s="269"/>
      <c r="M228" s="62"/>
      <c r="N228" s="62"/>
      <c r="O228" s="62"/>
      <c r="P228" s="62"/>
      <c r="Q228" s="62"/>
      <c r="R228" s="62"/>
      <c r="W228" s="77"/>
    </row>
    <row r="229" spans="1:23" s="214" customFormat="1" x14ac:dyDescent="0.25">
      <c r="A229" s="266"/>
      <c r="B229" s="266"/>
      <c r="C229" s="54"/>
      <c r="D229" s="267"/>
      <c r="E229" s="268"/>
      <c r="F229" s="55"/>
      <c r="G229" s="269"/>
      <c r="H229" s="269"/>
      <c r="I229" s="55"/>
      <c r="J229" s="269"/>
      <c r="K229" s="270"/>
      <c r="L229" s="269"/>
      <c r="M229" s="62"/>
      <c r="N229" s="62"/>
      <c r="O229" s="62"/>
      <c r="P229" s="62"/>
      <c r="Q229" s="62"/>
      <c r="R229" s="62"/>
      <c r="W229" s="77"/>
    </row>
    <row r="230" spans="1:23" s="214" customFormat="1" x14ac:dyDescent="0.25">
      <c r="A230" s="266"/>
      <c r="B230" s="266"/>
      <c r="C230" s="54"/>
      <c r="D230" s="267"/>
      <c r="E230" s="268"/>
      <c r="F230" s="55"/>
      <c r="G230" s="269"/>
      <c r="H230" s="269"/>
      <c r="I230" s="55"/>
      <c r="J230" s="269"/>
      <c r="K230" s="270"/>
      <c r="L230" s="269"/>
      <c r="M230" s="62"/>
      <c r="N230" s="62"/>
      <c r="O230" s="62"/>
      <c r="P230" s="62"/>
      <c r="Q230" s="62"/>
      <c r="R230" s="62"/>
      <c r="W230" s="77"/>
    </row>
    <row r="231" spans="1:23" s="214" customFormat="1" x14ac:dyDescent="0.25">
      <c r="A231" s="266"/>
      <c r="B231" s="266"/>
      <c r="C231" s="54"/>
      <c r="D231" s="267"/>
      <c r="E231" s="268"/>
      <c r="F231" s="55"/>
      <c r="G231" s="269"/>
      <c r="H231" s="269"/>
      <c r="I231" s="55"/>
      <c r="J231" s="269"/>
      <c r="K231" s="270"/>
      <c r="L231" s="269"/>
      <c r="M231" s="62"/>
      <c r="N231" s="62"/>
      <c r="O231" s="62"/>
      <c r="P231" s="62"/>
      <c r="Q231" s="62"/>
      <c r="R231" s="62"/>
      <c r="W231" s="77"/>
    </row>
    <row r="232" spans="1:23" s="214" customFormat="1" x14ac:dyDescent="0.25">
      <c r="A232" s="266"/>
      <c r="B232" s="266"/>
      <c r="C232" s="54"/>
      <c r="D232" s="267"/>
      <c r="E232" s="268"/>
      <c r="F232" s="55"/>
      <c r="G232" s="269"/>
      <c r="H232" s="269"/>
      <c r="I232" s="55"/>
      <c r="J232" s="269"/>
      <c r="K232" s="270"/>
      <c r="L232" s="269"/>
      <c r="M232" s="62"/>
      <c r="N232" s="62"/>
      <c r="O232" s="62"/>
      <c r="P232" s="62"/>
      <c r="Q232" s="62"/>
      <c r="R232" s="62"/>
      <c r="W232" s="77"/>
    </row>
    <row r="233" spans="1:23" s="214" customFormat="1" x14ac:dyDescent="0.25">
      <c r="A233" s="266"/>
      <c r="B233" s="266"/>
      <c r="C233" s="54"/>
      <c r="D233" s="267"/>
      <c r="E233" s="268"/>
      <c r="F233" s="55"/>
      <c r="G233" s="269"/>
      <c r="H233" s="269"/>
      <c r="I233" s="55"/>
      <c r="J233" s="269"/>
      <c r="K233" s="270"/>
      <c r="L233" s="269"/>
      <c r="M233" s="62"/>
      <c r="N233" s="62"/>
      <c r="O233" s="62"/>
      <c r="P233" s="62"/>
      <c r="Q233" s="62"/>
      <c r="R233" s="62"/>
      <c r="W233" s="77"/>
    </row>
    <row r="234" spans="1:23" s="214" customFormat="1" x14ac:dyDescent="0.25">
      <c r="A234" s="266"/>
      <c r="B234" s="266"/>
      <c r="C234" s="54"/>
      <c r="D234" s="267"/>
      <c r="E234" s="268"/>
      <c r="F234" s="55"/>
      <c r="G234" s="269"/>
      <c r="H234" s="269"/>
      <c r="I234" s="55"/>
      <c r="J234" s="269"/>
      <c r="K234" s="270"/>
      <c r="L234" s="269"/>
      <c r="M234" s="62"/>
      <c r="N234" s="62"/>
      <c r="O234" s="62"/>
      <c r="P234" s="62"/>
      <c r="Q234" s="62"/>
      <c r="R234" s="62"/>
      <c r="W234" s="77"/>
    </row>
    <row r="235" spans="1:23" s="214" customFormat="1" x14ac:dyDescent="0.25">
      <c r="A235" s="266"/>
      <c r="B235" s="266"/>
      <c r="C235" s="54"/>
      <c r="D235" s="267"/>
      <c r="E235" s="268"/>
      <c r="F235" s="55"/>
      <c r="G235" s="269"/>
      <c r="H235" s="269"/>
      <c r="I235" s="55"/>
      <c r="J235" s="269"/>
      <c r="K235" s="270"/>
      <c r="L235" s="269"/>
      <c r="M235" s="62"/>
      <c r="N235" s="62"/>
      <c r="O235" s="62"/>
      <c r="P235" s="62"/>
      <c r="Q235" s="62"/>
      <c r="R235" s="62"/>
      <c r="W235" s="77"/>
    </row>
    <row r="236" spans="1:23" s="214" customFormat="1" x14ac:dyDescent="0.25">
      <c r="A236" s="266"/>
      <c r="B236" s="266"/>
      <c r="C236" s="54"/>
      <c r="D236" s="267"/>
      <c r="E236" s="268"/>
      <c r="F236" s="55"/>
      <c r="G236" s="269"/>
      <c r="H236" s="269"/>
      <c r="I236" s="55"/>
      <c r="J236" s="269"/>
      <c r="K236" s="270"/>
      <c r="L236" s="269"/>
      <c r="M236" s="62"/>
      <c r="N236" s="62"/>
      <c r="O236" s="62"/>
      <c r="P236" s="62"/>
      <c r="Q236" s="62"/>
      <c r="R236" s="62"/>
      <c r="W236" s="77"/>
    </row>
    <row r="237" spans="1:23" s="214" customFormat="1" x14ac:dyDescent="0.25">
      <c r="A237" s="266"/>
      <c r="B237" s="266"/>
      <c r="C237" s="54"/>
      <c r="D237" s="267"/>
      <c r="E237" s="268"/>
      <c r="F237" s="55"/>
      <c r="G237" s="269"/>
      <c r="H237" s="269"/>
      <c r="I237" s="55"/>
      <c r="J237" s="269"/>
      <c r="K237" s="270"/>
      <c r="L237" s="269"/>
      <c r="M237" s="62"/>
      <c r="N237" s="62"/>
      <c r="O237" s="62"/>
      <c r="P237" s="62"/>
      <c r="Q237" s="62"/>
      <c r="R237" s="62"/>
      <c r="W237" s="77"/>
    </row>
    <row r="238" spans="1:23" s="214" customFormat="1" x14ac:dyDescent="0.25">
      <c r="A238" s="266"/>
      <c r="B238" s="266"/>
      <c r="C238" s="54"/>
      <c r="D238" s="267"/>
      <c r="E238" s="268"/>
      <c r="F238" s="55"/>
      <c r="G238" s="269"/>
      <c r="H238" s="269"/>
      <c r="I238" s="55"/>
      <c r="J238" s="269"/>
      <c r="K238" s="270"/>
      <c r="L238" s="269"/>
      <c r="M238" s="62"/>
      <c r="N238" s="62"/>
      <c r="O238" s="62"/>
      <c r="P238" s="62"/>
      <c r="Q238" s="62"/>
      <c r="R238" s="62"/>
      <c r="W238" s="77"/>
    </row>
    <row r="239" spans="1:23" s="214" customFormat="1" x14ac:dyDescent="0.25">
      <c r="A239" s="266"/>
      <c r="B239" s="266"/>
      <c r="C239" s="54"/>
      <c r="D239" s="267"/>
      <c r="E239" s="268"/>
      <c r="F239" s="55"/>
      <c r="G239" s="269"/>
      <c r="H239" s="269"/>
      <c r="I239" s="55"/>
      <c r="J239" s="269"/>
      <c r="K239" s="270"/>
      <c r="L239" s="269"/>
      <c r="M239" s="62"/>
      <c r="N239" s="62"/>
      <c r="O239" s="62"/>
      <c r="P239" s="62"/>
      <c r="Q239" s="62"/>
      <c r="R239" s="62"/>
      <c r="W239" s="77"/>
    </row>
    <row r="240" spans="1:23" s="214" customFormat="1" x14ac:dyDescent="0.25">
      <c r="A240" s="266"/>
      <c r="B240" s="266"/>
      <c r="C240" s="54"/>
      <c r="D240" s="267"/>
      <c r="E240" s="268"/>
      <c r="F240" s="55"/>
      <c r="G240" s="269"/>
      <c r="H240" s="269"/>
      <c r="I240" s="55"/>
      <c r="J240" s="269"/>
      <c r="K240" s="270"/>
      <c r="L240" s="269"/>
      <c r="M240" s="62"/>
      <c r="N240" s="62"/>
      <c r="O240" s="62"/>
      <c r="P240" s="62"/>
      <c r="Q240" s="62"/>
      <c r="R240" s="62"/>
      <c r="W240" s="77"/>
    </row>
    <row r="241" spans="1:23" s="214" customFormat="1" x14ac:dyDescent="0.25">
      <c r="A241" s="266"/>
      <c r="B241" s="266"/>
      <c r="C241" s="54"/>
      <c r="D241" s="267"/>
      <c r="E241" s="268"/>
      <c r="F241" s="55"/>
      <c r="G241" s="269"/>
      <c r="H241" s="269"/>
      <c r="I241" s="55"/>
      <c r="J241" s="269"/>
      <c r="K241" s="270"/>
      <c r="L241" s="269"/>
      <c r="M241" s="62"/>
      <c r="N241" s="62"/>
      <c r="O241" s="62"/>
      <c r="P241" s="62"/>
      <c r="Q241" s="62"/>
      <c r="R241" s="62"/>
      <c r="W241" s="77"/>
    </row>
    <row r="242" spans="1:23" s="214" customFormat="1" x14ac:dyDescent="0.25">
      <c r="A242" s="266"/>
      <c r="B242" s="266"/>
      <c r="C242" s="54"/>
      <c r="D242" s="267"/>
      <c r="E242" s="268"/>
      <c r="F242" s="55"/>
      <c r="G242" s="269"/>
      <c r="H242" s="269"/>
      <c r="I242" s="55"/>
      <c r="J242" s="269"/>
      <c r="K242" s="270"/>
      <c r="L242" s="269"/>
      <c r="M242" s="62"/>
      <c r="N242" s="62"/>
      <c r="O242" s="62"/>
      <c r="P242" s="62"/>
      <c r="Q242" s="62"/>
      <c r="R242" s="62"/>
      <c r="W242" s="77"/>
    </row>
    <row r="243" spans="1:23" s="214" customFormat="1" x14ac:dyDescent="0.25">
      <c r="A243" s="266"/>
      <c r="B243" s="266"/>
      <c r="C243" s="54"/>
      <c r="D243" s="267"/>
      <c r="E243" s="268"/>
      <c r="F243" s="55"/>
      <c r="G243" s="269"/>
      <c r="H243" s="269"/>
      <c r="I243" s="55"/>
      <c r="J243" s="269"/>
      <c r="K243" s="270"/>
      <c r="L243" s="269"/>
      <c r="M243" s="62"/>
      <c r="N243" s="62"/>
      <c r="O243" s="62"/>
      <c r="P243" s="62"/>
      <c r="Q243" s="62"/>
      <c r="R243" s="62"/>
      <c r="W243" s="77"/>
    </row>
    <row r="244" spans="1:23" s="214" customFormat="1" x14ac:dyDescent="0.25">
      <c r="A244" s="266"/>
      <c r="B244" s="266"/>
      <c r="C244" s="54"/>
      <c r="D244" s="267"/>
      <c r="E244" s="268"/>
      <c r="F244" s="55"/>
      <c r="G244" s="269"/>
      <c r="H244" s="269"/>
      <c r="I244" s="55"/>
      <c r="J244" s="269"/>
      <c r="K244" s="270"/>
      <c r="L244" s="269"/>
      <c r="M244" s="62"/>
      <c r="N244" s="62"/>
      <c r="O244" s="62"/>
      <c r="P244" s="62"/>
      <c r="Q244" s="62"/>
      <c r="R244" s="62"/>
      <c r="W244" s="77"/>
    </row>
    <row r="245" spans="1:23" s="214" customFormat="1" x14ac:dyDescent="0.25">
      <c r="A245" s="266"/>
      <c r="B245" s="266"/>
      <c r="C245" s="54"/>
      <c r="D245" s="267"/>
      <c r="E245" s="268"/>
      <c r="F245" s="55"/>
      <c r="G245" s="269"/>
      <c r="H245" s="269"/>
      <c r="I245" s="55"/>
      <c r="J245" s="269"/>
      <c r="K245" s="270"/>
      <c r="L245" s="269"/>
      <c r="M245" s="62"/>
      <c r="N245" s="62"/>
      <c r="O245" s="62"/>
      <c r="P245" s="62"/>
      <c r="Q245" s="62"/>
      <c r="R245" s="62"/>
      <c r="W245" s="77"/>
    </row>
    <row r="246" spans="1:23" s="214" customFormat="1" x14ac:dyDescent="0.25">
      <c r="A246" s="266"/>
      <c r="B246" s="266"/>
      <c r="C246" s="54"/>
      <c r="D246" s="267"/>
      <c r="E246" s="268"/>
      <c r="F246" s="55"/>
      <c r="G246" s="269"/>
      <c r="H246" s="269"/>
      <c r="I246" s="55"/>
      <c r="J246" s="269"/>
      <c r="K246" s="270"/>
      <c r="L246" s="269"/>
      <c r="M246" s="62"/>
      <c r="N246" s="62"/>
      <c r="O246" s="62"/>
      <c r="P246" s="62"/>
      <c r="Q246" s="62"/>
      <c r="R246" s="62"/>
      <c r="W246" s="77"/>
    </row>
    <row r="247" spans="1:23" s="214" customFormat="1" x14ac:dyDescent="0.25">
      <c r="A247" s="266"/>
      <c r="B247" s="266"/>
      <c r="C247" s="54"/>
      <c r="D247" s="267"/>
      <c r="E247" s="268"/>
      <c r="F247" s="55"/>
      <c r="G247" s="269"/>
      <c r="H247" s="269"/>
      <c r="I247" s="55"/>
      <c r="J247" s="269"/>
      <c r="K247" s="270"/>
      <c r="L247" s="269"/>
      <c r="M247" s="62"/>
      <c r="N247" s="62"/>
      <c r="O247" s="62"/>
      <c r="P247" s="62"/>
      <c r="Q247" s="62"/>
      <c r="R247" s="62"/>
      <c r="W247" s="77"/>
    </row>
    <row r="248" spans="1:23" s="214" customFormat="1" x14ac:dyDescent="0.25">
      <c r="A248" s="266"/>
      <c r="B248" s="266"/>
      <c r="C248" s="54"/>
      <c r="D248" s="267"/>
      <c r="E248" s="268"/>
      <c r="F248" s="55"/>
      <c r="G248" s="269"/>
      <c r="H248" s="269"/>
      <c r="I248" s="55"/>
      <c r="J248" s="269"/>
      <c r="K248" s="270"/>
      <c r="L248" s="269"/>
      <c r="M248" s="62"/>
      <c r="N248" s="62"/>
      <c r="O248" s="62"/>
      <c r="P248" s="62"/>
      <c r="Q248" s="62"/>
      <c r="R248" s="62"/>
      <c r="W248" s="77"/>
    </row>
    <row r="249" spans="1:23" s="214" customFormat="1" x14ac:dyDescent="0.25">
      <c r="A249" s="266"/>
      <c r="B249" s="266"/>
      <c r="C249" s="54"/>
      <c r="D249" s="267"/>
      <c r="E249" s="268"/>
      <c r="F249" s="55"/>
      <c r="G249" s="269"/>
      <c r="H249" s="269"/>
      <c r="I249" s="55"/>
      <c r="J249" s="269"/>
      <c r="K249" s="270"/>
      <c r="L249" s="269"/>
      <c r="M249" s="62"/>
      <c r="N249" s="62"/>
      <c r="O249" s="62"/>
      <c r="P249" s="62"/>
      <c r="Q249" s="62"/>
      <c r="R249" s="62"/>
      <c r="W249" s="77"/>
    </row>
    <row r="250" spans="1:23" s="214" customFormat="1" x14ac:dyDescent="0.25">
      <c r="A250" s="266"/>
      <c r="B250" s="266"/>
      <c r="C250" s="54"/>
      <c r="D250" s="267"/>
      <c r="E250" s="268"/>
      <c r="F250" s="55"/>
      <c r="G250" s="269"/>
      <c r="H250" s="269"/>
      <c r="I250" s="55"/>
      <c r="J250" s="269"/>
      <c r="K250" s="270"/>
      <c r="L250" s="269"/>
      <c r="M250" s="62"/>
      <c r="N250" s="62"/>
      <c r="O250" s="62"/>
      <c r="P250" s="62"/>
      <c r="Q250" s="62"/>
      <c r="R250" s="62"/>
      <c r="W250" s="77"/>
    </row>
    <row r="251" spans="1:23" s="214" customFormat="1" x14ac:dyDescent="0.25">
      <c r="A251" s="266"/>
      <c r="B251" s="266"/>
      <c r="C251" s="54"/>
      <c r="D251" s="267"/>
      <c r="E251" s="268"/>
      <c r="F251" s="55"/>
      <c r="G251" s="269"/>
      <c r="H251" s="269"/>
      <c r="I251" s="55"/>
      <c r="J251" s="269"/>
      <c r="K251" s="270"/>
      <c r="L251" s="269"/>
      <c r="M251" s="62"/>
      <c r="N251" s="62"/>
      <c r="O251" s="62"/>
      <c r="P251" s="62"/>
      <c r="Q251" s="62"/>
      <c r="R251" s="62"/>
      <c r="W251" s="77"/>
    </row>
    <row r="252" spans="1:23" s="214" customFormat="1" x14ac:dyDescent="0.25">
      <c r="A252" s="266"/>
      <c r="B252" s="266"/>
      <c r="C252" s="54"/>
      <c r="D252" s="267"/>
      <c r="E252" s="268"/>
      <c r="F252" s="55"/>
      <c r="G252" s="269"/>
      <c r="H252" s="269"/>
      <c r="I252" s="55"/>
      <c r="J252" s="269"/>
      <c r="K252" s="270"/>
      <c r="L252" s="269"/>
      <c r="M252" s="62"/>
      <c r="N252" s="62"/>
      <c r="O252" s="62"/>
      <c r="P252" s="62"/>
      <c r="Q252" s="62"/>
      <c r="R252" s="62"/>
      <c r="W252" s="77"/>
    </row>
    <row r="253" spans="1:23" s="214" customFormat="1" x14ac:dyDescent="0.25">
      <c r="A253" s="266"/>
      <c r="B253" s="266"/>
      <c r="C253" s="54"/>
      <c r="D253" s="267"/>
      <c r="E253" s="268"/>
      <c r="F253" s="55"/>
      <c r="G253" s="269"/>
      <c r="H253" s="269"/>
      <c r="I253" s="55"/>
      <c r="J253" s="269"/>
      <c r="K253" s="270"/>
      <c r="L253" s="269"/>
      <c r="M253" s="62"/>
      <c r="N253" s="62"/>
      <c r="O253" s="62"/>
      <c r="P253" s="62"/>
      <c r="Q253" s="62"/>
      <c r="R253" s="62"/>
      <c r="W253" s="77"/>
    </row>
    <row r="254" spans="1:23" s="214" customFormat="1" x14ac:dyDescent="0.25">
      <c r="A254" s="266"/>
      <c r="B254" s="266"/>
      <c r="C254" s="54"/>
      <c r="D254" s="267"/>
      <c r="E254" s="268"/>
      <c r="F254" s="55"/>
      <c r="G254" s="269"/>
      <c r="H254" s="269"/>
      <c r="I254" s="55"/>
      <c r="J254" s="269"/>
      <c r="K254" s="270"/>
      <c r="L254" s="269"/>
      <c r="M254" s="62"/>
      <c r="N254" s="62"/>
      <c r="O254" s="62"/>
      <c r="P254" s="62"/>
      <c r="Q254" s="62"/>
      <c r="R254" s="62"/>
      <c r="W254" s="77"/>
    </row>
    <row r="255" spans="1:23" s="214" customFormat="1" x14ac:dyDescent="0.25">
      <c r="A255" s="266"/>
      <c r="B255" s="266"/>
      <c r="C255" s="54"/>
      <c r="D255" s="267"/>
      <c r="E255" s="268"/>
      <c r="F255" s="55"/>
      <c r="G255" s="269"/>
      <c r="H255" s="269"/>
      <c r="I255" s="55"/>
      <c r="J255" s="269"/>
      <c r="K255" s="270"/>
      <c r="L255" s="269"/>
      <c r="M255" s="62"/>
      <c r="N255" s="62"/>
      <c r="O255" s="62"/>
      <c r="P255" s="62"/>
      <c r="Q255" s="62"/>
      <c r="R255" s="62"/>
      <c r="W255" s="77"/>
    </row>
    <row r="256" spans="1:23" s="214" customFormat="1" x14ac:dyDescent="0.25">
      <c r="A256" s="266"/>
      <c r="B256" s="266"/>
      <c r="C256" s="54"/>
      <c r="D256" s="267"/>
      <c r="E256" s="268"/>
      <c r="F256" s="55"/>
      <c r="G256" s="269"/>
      <c r="H256" s="269"/>
      <c r="I256" s="55"/>
      <c r="J256" s="269"/>
      <c r="K256" s="270"/>
      <c r="L256" s="269"/>
      <c r="M256" s="62"/>
      <c r="N256" s="62"/>
      <c r="O256" s="62"/>
      <c r="P256" s="62"/>
      <c r="Q256" s="62"/>
      <c r="R256" s="62"/>
      <c r="W256" s="77"/>
    </row>
    <row r="257" spans="1:23" s="214" customFormat="1" x14ac:dyDescent="0.25">
      <c r="A257" s="266"/>
      <c r="B257" s="266"/>
      <c r="C257" s="54"/>
      <c r="D257" s="267"/>
      <c r="E257" s="268"/>
      <c r="F257" s="55"/>
      <c r="G257" s="269"/>
      <c r="H257" s="269"/>
      <c r="I257" s="55"/>
      <c r="J257" s="269"/>
      <c r="K257" s="270"/>
      <c r="L257" s="269"/>
      <c r="M257" s="62"/>
      <c r="N257" s="62"/>
      <c r="O257" s="62"/>
      <c r="P257" s="62"/>
      <c r="Q257" s="62"/>
      <c r="R257" s="62"/>
      <c r="W257" s="77"/>
    </row>
    <row r="258" spans="1:23" s="214" customFormat="1" x14ac:dyDescent="0.25">
      <c r="A258" s="266"/>
      <c r="B258" s="266"/>
      <c r="C258" s="54"/>
      <c r="D258" s="267"/>
      <c r="E258" s="268"/>
      <c r="F258" s="55"/>
      <c r="G258" s="269"/>
      <c r="H258" s="269"/>
      <c r="I258" s="55"/>
      <c r="J258" s="269"/>
      <c r="K258" s="270"/>
      <c r="L258" s="269"/>
      <c r="M258" s="62"/>
      <c r="N258" s="62"/>
      <c r="O258" s="62"/>
      <c r="P258" s="62"/>
      <c r="Q258" s="62"/>
      <c r="R258" s="62"/>
      <c r="W258" s="77"/>
    </row>
    <row r="259" spans="1:23" s="214" customFormat="1" x14ac:dyDescent="0.25">
      <c r="A259" s="266"/>
      <c r="B259" s="266"/>
      <c r="C259" s="54"/>
      <c r="D259" s="267"/>
      <c r="E259" s="268"/>
      <c r="F259" s="55"/>
      <c r="G259" s="269"/>
      <c r="H259" s="269"/>
      <c r="I259" s="55"/>
      <c r="J259" s="269"/>
      <c r="K259" s="270"/>
      <c r="L259" s="269"/>
      <c r="M259" s="62"/>
      <c r="N259" s="62"/>
      <c r="O259" s="62"/>
      <c r="P259" s="62"/>
      <c r="Q259" s="62"/>
      <c r="R259" s="62"/>
      <c r="W259" s="77"/>
    </row>
    <row r="260" spans="1:23" s="214" customFormat="1" x14ac:dyDescent="0.25">
      <c r="A260" s="266"/>
      <c r="B260" s="266"/>
      <c r="C260" s="54"/>
      <c r="D260" s="267"/>
      <c r="E260" s="268"/>
      <c r="F260" s="55"/>
      <c r="G260" s="269"/>
      <c r="H260" s="269"/>
      <c r="I260" s="55"/>
      <c r="J260" s="269"/>
      <c r="K260" s="270"/>
      <c r="L260" s="269"/>
      <c r="M260" s="62"/>
      <c r="N260" s="62"/>
      <c r="O260" s="62"/>
      <c r="P260" s="62"/>
      <c r="Q260" s="62"/>
      <c r="R260" s="62"/>
      <c r="W260" s="77"/>
    </row>
    <row r="261" spans="1:23" s="214" customFormat="1" x14ac:dyDescent="0.25">
      <c r="A261" s="266"/>
      <c r="B261" s="266"/>
      <c r="C261" s="54"/>
      <c r="D261" s="267"/>
      <c r="E261" s="268"/>
      <c r="F261" s="55"/>
      <c r="G261" s="269"/>
      <c r="H261" s="269"/>
      <c r="I261" s="55"/>
      <c r="J261" s="269"/>
      <c r="K261" s="270"/>
      <c r="L261" s="269"/>
      <c r="M261" s="62"/>
      <c r="N261" s="62"/>
      <c r="O261" s="62"/>
      <c r="P261" s="62"/>
      <c r="Q261" s="62"/>
      <c r="R261" s="62"/>
      <c r="W261" s="77"/>
    </row>
    <row r="262" spans="1:23" s="214" customFormat="1" x14ac:dyDescent="0.25">
      <c r="A262" s="266"/>
      <c r="B262" s="266"/>
      <c r="C262" s="54"/>
      <c r="D262" s="267"/>
      <c r="E262" s="268"/>
      <c r="F262" s="55"/>
      <c r="G262" s="269"/>
      <c r="H262" s="269"/>
      <c r="I262" s="55"/>
      <c r="J262" s="269"/>
      <c r="K262" s="270"/>
      <c r="L262" s="269"/>
      <c r="M262" s="62"/>
      <c r="N262" s="62"/>
      <c r="O262" s="62"/>
      <c r="P262" s="62"/>
      <c r="Q262" s="62"/>
      <c r="R262" s="62"/>
      <c r="W262" s="77"/>
    </row>
    <row r="263" spans="1:23" s="214" customFormat="1" x14ac:dyDescent="0.25">
      <c r="A263" s="266"/>
      <c r="B263" s="266"/>
      <c r="C263" s="54"/>
      <c r="D263" s="267"/>
      <c r="E263" s="268"/>
      <c r="F263" s="55"/>
      <c r="G263" s="269"/>
      <c r="H263" s="269"/>
      <c r="I263" s="55"/>
      <c r="J263" s="269"/>
      <c r="K263" s="270"/>
      <c r="L263" s="269"/>
      <c r="M263" s="62"/>
      <c r="N263" s="62"/>
      <c r="O263" s="62"/>
      <c r="P263" s="62"/>
      <c r="Q263" s="62"/>
      <c r="R263" s="62"/>
      <c r="W263" s="77"/>
    </row>
    <row r="264" spans="1:23" s="214" customFormat="1" x14ac:dyDescent="0.25">
      <c r="A264" s="266"/>
      <c r="B264" s="266"/>
      <c r="C264" s="54"/>
      <c r="D264" s="267"/>
      <c r="E264" s="268"/>
      <c r="F264" s="55"/>
      <c r="G264" s="269"/>
      <c r="H264" s="269"/>
      <c r="I264" s="55"/>
      <c r="J264" s="269"/>
      <c r="K264" s="270"/>
      <c r="L264" s="269"/>
      <c r="M264" s="62"/>
      <c r="N264" s="62"/>
      <c r="O264" s="62"/>
      <c r="P264" s="62"/>
      <c r="Q264" s="62"/>
      <c r="R264" s="62"/>
      <c r="W264" s="77"/>
    </row>
    <row r="265" spans="1:23" s="214" customFormat="1" x14ac:dyDescent="0.25">
      <c r="A265" s="266"/>
      <c r="B265" s="266"/>
      <c r="C265" s="54"/>
      <c r="D265" s="267"/>
      <c r="E265" s="268"/>
      <c r="F265" s="55"/>
      <c r="G265" s="269"/>
      <c r="H265" s="269"/>
      <c r="I265" s="55"/>
      <c r="J265" s="269"/>
      <c r="K265" s="270"/>
      <c r="L265" s="269"/>
      <c r="M265" s="62"/>
      <c r="N265" s="62"/>
      <c r="O265" s="62"/>
      <c r="P265" s="62"/>
      <c r="Q265" s="62"/>
      <c r="R265" s="62"/>
      <c r="W265" s="77"/>
    </row>
    <row r="266" spans="1:23" s="214" customFormat="1" x14ac:dyDescent="0.25">
      <c r="A266" s="266"/>
      <c r="B266" s="266"/>
      <c r="C266" s="54"/>
      <c r="D266" s="267"/>
      <c r="E266" s="268"/>
      <c r="F266" s="55"/>
      <c r="G266" s="269"/>
      <c r="H266" s="269"/>
      <c r="I266" s="55"/>
      <c r="J266" s="269"/>
      <c r="K266" s="270"/>
      <c r="L266" s="269"/>
      <c r="M266" s="62"/>
      <c r="N266" s="62"/>
      <c r="O266" s="62"/>
      <c r="P266" s="62"/>
      <c r="Q266" s="62"/>
      <c r="R266" s="62"/>
      <c r="W266" s="77"/>
    </row>
    <row r="267" spans="1:23" s="214" customFormat="1" x14ac:dyDescent="0.25">
      <c r="A267" s="266"/>
      <c r="B267" s="266"/>
      <c r="C267" s="54"/>
      <c r="D267" s="267"/>
      <c r="E267" s="268"/>
      <c r="F267" s="55"/>
      <c r="G267" s="269"/>
      <c r="H267" s="269"/>
      <c r="I267" s="55"/>
      <c r="J267" s="269"/>
      <c r="K267" s="270"/>
      <c r="L267" s="269"/>
      <c r="M267" s="62"/>
      <c r="N267" s="62"/>
      <c r="O267" s="62"/>
      <c r="P267" s="62"/>
      <c r="Q267" s="62"/>
      <c r="R267" s="62"/>
      <c r="W267" s="77"/>
    </row>
    <row r="268" spans="1:23" s="214" customFormat="1" x14ac:dyDescent="0.25">
      <c r="A268" s="266"/>
      <c r="B268" s="266"/>
      <c r="C268" s="54"/>
      <c r="D268" s="267"/>
      <c r="E268" s="268"/>
      <c r="F268" s="55"/>
      <c r="G268" s="269"/>
      <c r="H268" s="269"/>
      <c r="I268" s="55"/>
      <c r="J268" s="269"/>
      <c r="K268" s="270"/>
      <c r="L268" s="269"/>
      <c r="M268" s="62"/>
      <c r="N268" s="62"/>
      <c r="O268" s="62"/>
      <c r="P268" s="62"/>
      <c r="Q268" s="62"/>
      <c r="R268" s="62"/>
      <c r="W268" s="77"/>
    </row>
    <row r="269" spans="1:23" s="214" customFormat="1" x14ac:dyDescent="0.25">
      <c r="A269" s="266"/>
      <c r="B269" s="266"/>
      <c r="C269" s="54"/>
      <c r="D269" s="267"/>
      <c r="E269" s="268"/>
      <c r="F269" s="55"/>
      <c r="G269" s="269"/>
      <c r="H269" s="269"/>
      <c r="I269" s="55"/>
      <c r="J269" s="269"/>
      <c r="K269" s="270"/>
      <c r="L269" s="269"/>
      <c r="M269" s="62"/>
      <c r="N269" s="62"/>
      <c r="O269" s="62"/>
      <c r="P269" s="62"/>
      <c r="Q269" s="62"/>
      <c r="R269" s="62"/>
      <c r="W269" s="77"/>
    </row>
    <row r="270" spans="1:23" s="214" customFormat="1" x14ac:dyDescent="0.25">
      <c r="A270" s="266"/>
      <c r="B270" s="266"/>
      <c r="C270" s="54"/>
      <c r="D270" s="267"/>
      <c r="E270" s="268"/>
      <c r="F270" s="55"/>
      <c r="G270" s="269"/>
      <c r="H270" s="269"/>
      <c r="I270" s="55"/>
      <c r="J270" s="269"/>
      <c r="K270" s="270"/>
      <c r="L270" s="269"/>
      <c r="M270" s="62"/>
      <c r="N270" s="62"/>
      <c r="O270" s="62"/>
      <c r="P270" s="62"/>
      <c r="Q270" s="62"/>
      <c r="R270" s="62"/>
      <c r="W270" s="77"/>
    </row>
    <row r="271" spans="1:23" s="214" customFormat="1" x14ac:dyDescent="0.25">
      <c r="A271" s="266"/>
      <c r="B271" s="266"/>
      <c r="C271" s="54"/>
      <c r="D271" s="267"/>
      <c r="E271" s="268"/>
      <c r="F271" s="55"/>
      <c r="G271" s="269"/>
      <c r="H271" s="269"/>
      <c r="I271" s="55"/>
      <c r="J271" s="269"/>
      <c r="K271" s="270"/>
      <c r="L271" s="269"/>
      <c r="M271" s="62"/>
      <c r="N271" s="62"/>
      <c r="O271" s="62"/>
      <c r="P271" s="62"/>
      <c r="Q271" s="62"/>
      <c r="R271" s="62"/>
      <c r="W271" s="77"/>
    </row>
    <row r="272" spans="1:23" s="214" customFormat="1" x14ac:dyDescent="0.25">
      <c r="A272" s="266"/>
      <c r="B272" s="266"/>
      <c r="C272" s="54"/>
      <c r="D272" s="267"/>
      <c r="E272" s="268"/>
      <c r="F272" s="55"/>
      <c r="G272" s="269"/>
      <c r="H272" s="269"/>
      <c r="I272" s="55"/>
      <c r="J272" s="269"/>
      <c r="K272" s="270"/>
      <c r="L272" s="269"/>
      <c r="M272" s="62"/>
      <c r="N272" s="62"/>
      <c r="O272" s="62"/>
      <c r="P272" s="62"/>
      <c r="Q272" s="62"/>
      <c r="R272" s="62"/>
      <c r="W272" s="77"/>
    </row>
    <row r="273" spans="1:23" s="214" customFormat="1" x14ac:dyDescent="0.25">
      <c r="A273" s="266"/>
      <c r="B273" s="266"/>
      <c r="C273" s="54"/>
      <c r="D273" s="267"/>
      <c r="E273" s="268"/>
      <c r="F273" s="55"/>
      <c r="G273" s="269"/>
      <c r="H273" s="269"/>
      <c r="I273" s="55"/>
      <c r="J273" s="269"/>
      <c r="K273" s="270"/>
      <c r="L273" s="269"/>
      <c r="M273" s="62"/>
      <c r="N273" s="62"/>
      <c r="O273" s="62"/>
      <c r="P273" s="62"/>
      <c r="Q273" s="62"/>
      <c r="R273" s="62"/>
      <c r="W273" s="77"/>
    </row>
    <row r="274" spans="1:23" s="214" customFormat="1" x14ac:dyDescent="0.25">
      <c r="A274" s="266"/>
      <c r="B274" s="266"/>
      <c r="C274" s="54"/>
      <c r="D274" s="267"/>
      <c r="E274" s="268"/>
      <c r="F274" s="55"/>
      <c r="G274" s="269"/>
      <c r="H274" s="269"/>
      <c r="I274" s="55"/>
      <c r="J274" s="269"/>
      <c r="K274" s="270"/>
      <c r="L274" s="269"/>
      <c r="M274" s="62"/>
      <c r="N274" s="62"/>
      <c r="O274" s="62"/>
      <c r="P274" s="62"/>
      <c r="Q274" s="62"/>
      <c r="R274" s="62"/>
      <c r="W274" s="77"/>
    </row>
    <row r="275" spans="1:23" s="214" customFormat="1" x14ac:dyDescent="0.25">
      <c r="A275" s="266"/>
      <c r="B275" s="266"/>
      <c r="C275" s="54"/>
      <c r="D275" s="267"/>
      <c r="E275" s="268"/>
      <c r="F275" s="55"/>
      <c r="G275" s="269"/>
      <c r="H275" s="269"/>
      <c r="I275" s="55"/>
      <c r="J275" s="269"/>
      <c r="K275" s="270"/>
      <c r="L275" s="269"/>
      <c r="M275" s="62"/>
      <c r="N275" s="62"/>
      <c r="O275" s="62"/>
      <c r="P275" s="62"/>
      <c r="Q275" s="62"/>
      <c r="R275" s="62"/>
      <c r="W275" s="77"/>
    </row>
    <row r="276" spans="1:23" s="214" customFormat="1" x14ac:dyDescent="0.25">
      <c r="A276" s="266"/>
      <c r="B276" s="266"/>
      <c r="C276" s="54"/>
      <c r="D276" s="267"/>
      <c r="E276" s="268"/>
      <c r="F276" s="55"/>
      <c r="G276" s="269"/>
      <c r="H276" s="269"/>
      <c r="I276" s="55"/>
      <c r="J276" s="269"/>
      <c r="K276" s="270"/>
      <c r="L276" s="269"/>
      <c r="M276" s="62"/>
      <c r="N276" s="62"/>
      <c r="O276" s="62"/>
      <c r="P276" s="62"/>
      <c r="Q276" s="62"/>
      <c r="R276" s="62"/>
      <c r="W276" s="77"/>
    </row>
    <row r="277" spans="1:23" s="214" customFormat="1" x14ac:dyDescent="0.25">
      <c r="A277" s="266"/>
      <c r="B277" s="266"/>
      <c r="C277" s="54"/>
      <c r="D277" s="267"/>
      <c r="E277" s="268"/>
      <c r="F277" s="55"/>
      <c r="G277" s="269"/>
      <c r="H277" s="269"/>
      <c r="I277" s="55"/>
      <c r="J277" s="269"/>
      <c r="K277" s="270"/>
      <c r="L277" s="269"/>
      <c r="M277" s="62"/>
      <c r="N277" s="62"/>
      <c r="O277" s="62"/>
      <c r="P277" s="62"/>
      <c r="Q277" s="62"/>
      <c r="R277" s="62"/>
      <c r="W277" s="77"/>
    </row>
    <row r="278" spans="1:23" s="214" customFormat="1" x14ac:dyDescent="0.25">
      <c r="A278" s="266"/>
      <c r="B278" s="266"/>
      <c r="C278" s="54"/>
      <c r="D278" s="267"/>
      <c r="E278" s="268"/>
      <c r="F278" s="55"/>
      <c r="G278" s="269"/>
      <c r="H278" s="269"/>
      <c r="I278" s="55"/>
      <c r="J278" s="269"/>
      <c r="K278" s="270"/>
      <c r="L278" s="269"/>
      <c r="M278" s="62"/>
      <c r="N278" s="62"/>
      <c r="O278" s="62"/>
      <c r="P278" s="62"/>
      <c r="Q278" s="62"/>
      <c r="R278" s="62"/>
      <c r="W278" s="77"/>
    </row>
    <row r="279" spans="1:23" s="214" customFormat="1" x14ac:dyDescent="0.25">
      <c r="A279" s="266"/>
      <c r="B279" s="266"/>
      <c r="C279" s="54"/>
      <c r="D279" s="267"/>
      <c r="E279" s="268"/>
      <c r="F279" s="55"/>
      <c r="G279" s="269"/>
      <c r="H279" s="269"/>
      <c r="I279" s="55"/>
      <c r="J279" s="269"/>
      <c r="K279" s="270"/>
      <c r="L279" s="269"/>
      <c r="M279" s="62"/>
      <c r="N279" s="62"/>
      <c r="O279" s="62"/>
      <c r="P279" s="62"/>
      <c r="Q279" s="62"/>
      <c r="R279" s="62"/>
      <c r="W279" s="77"/>
    </row>
    <row r="280" spans="1:23" s="214" customFormat="1" x14ac:dyDescent="0.25">
      <c r="A280" s="266"/>
      <c r="B280" s="266"/>
      <c r="C280" s="54"/>
      <c r="D280" s="267"/>
      <c r="E280" s="268"/>
      <c r="F280" s="55"/>
      <c r="G280" s="269"/>
      <c r="H280" s="269"/>
      <c r="I280" s="55"/>
      <c r="J280" s="269"/>
      <c r="K280" s="270"/>
      <c r="L280" s="269"/>
      <c r="M280" s="62"/>
      <c r="N280" s="62"/>
      <c r="O280" s="62"/>
      <c r="P280" s="62"/>
      <c r="Q280" s="62"/>
      <c r="R280" s="62"/>
      <c r="W280" s="77"/>
    </row>
    <row r="281" spans="1:23" s="214" customFormat="1" x14ac:dyDescent="0.25">
      <c r="A281" s="266"/>
      <c r="B281" s="266"/>
      <c r="C281" s="54"/>
      <c r="D281" s="267"/>
      <c r="E281" s="268"/>
      <c r="F281" s="55"/>
      <c r="G281" s="269"/>
      <c r="H281" s="269"/>
      <c r="I281" s="55"/>
      <c r="J281" s="269"/>
      <c r="K281" s="270"/>
      <c r="L281" s="269"/>
      <c r="M281" s="62"/>
      <c r="N281" s="62"/>
      <c r="O281" s="62"/>
      <c r="P281" s="62"/>
      <c r="Q281" s="62"/>
      <c r="R281" s="62"/>
      <c r="W281" s="77"/>
    </row>
    <row r="282" spans="1:23" s="214" customFormat="1" x14ac:dyDescent="0.25">
      <c r="A282" s="266"/>
      <c r="B282" s="266"/>
      <c r="C282" s="54"/>
      <c r="D282" s="267"/>
      <c r="E282" s="268"/>
      <c r="F282" s="55"/>
      <c r="G282" s="269"/>
      <c r="H282" s="269"/>
      <c r="I282" s="55"/>
      <c r="J282" s="269"/>
      <c r="K282" s="270"/>
      <c r="L282" s="269"/>
      <c r="M282" s="62"/>
      <c r="N282" s="62"/>
      <c r="O282" s="62"/>
      <c r="P282" s="62"/>
      <c r="Q282" s="62"/>
      <c r="R282" s="62"/>
      <c r="W282" s="77"/>
    </row>
    <row r="283" spans="1:23" s="214" customFormat="1" x14ac:dyDescent="0.25">
      <c r="A283" s="266"/>
      <c r="B283" s="266"/>
      <c r="C283" s="54"/>
      <c r="D283" s="267"/>
      <c r="E283" s="268"/>
      <c r="F283" s="55"/>
      <c r="G283" s="269"/>
      <c r="H283" s="269"/>
      <c r="I283" s="55"/>
      <c r="J283" s="269"/>
      <c r="K283" s="270"/>
      <c r="L283" s="269"/>
      <c r="M283" s="62"/>
      <c r="N283" s="62"/>
      <c r="O283" s="62"/>
      <c r="P283" s="62"/>
      <c r="Q283" s="62"/>
      <c r="R283" s="62"/>
      <c r="W283" s="77"/>
    </row>
    <row r="284" spans="1:23" s="214" customFormat="1" x14ac:dyDescent="0.25">
      <c r="A284" s="266"/>
      <c r="B284" s="266"/>
      <c r="C284" s="54"/>
      <c r="D284" s="267"/>
      <c r="E284" s="268"/>
      <c r="F284" s="55"/>
      <c r="G284" s="269"/>
      <c r="H284" s="269"/>
      <c r="I284" s="55"/>
      <c r="J284" s="269"/>
      <c r="K284" s="270"/>
      <c r="L284" s="269"/>
      <c r="M284" s="62"/>
      <c r="N284" s="62"/>
      <c r="O284" s="62"/>
      <c r="P284" s="62"/>
      <c r="Q284" s="62"/>
      <c r="R284" s="62"/>
      <c r="W284" s="77"/>
    </row>
    <row r="285" spans="1:23" s="214" customFormat="1" x14ac:dyDescent="0.25">
      <c r="A285" s="266"/>
      <c r="B285" s="266"/>
      <c r="C285" s="54"/>
      <c r="D285" s="267"/>
      <c r="E285" s="268"/>
      <c r="F285" s="55"/>
      <c r="G285" s="269"/>
      <c r="H285" s="269"/>
      <c r="I285" s="55"/>
      <c r="J285" s="269"/>
      <c r="K285" s="270"/>
      <c r="L285" s="269"/>
      <c r="M285" s="62"/>
      <c r="N285" s="62"/>
      <c r="O285" s="62"/>
      <c r="P285" s="62"/>
      <c r="Q285" s="62"/>
      <c r="R285" s="62"/>
      <c r="W285" s="77"/>
    </row>
  </sheetData>
  <sheetProtection algorithmName="SHA-512" hashValue="GyYrXkMiGLNWXGPo+V3rLsWcCtNJmbQFXphIcB95sx6/C8QQfCcG6Kfk5ExcF++gg1KmZu84buRYA96vqCYesQ==" saltValue="SlWSwj/y63HebUS+Tnj+PQ==" spinCount="100000" sheet="1" formatCells="0" formatColumns="0" formatRows="0"/>
  <mergeCells count="162">
    <mergeCell ref="M63:T63"/>
    <mergeCell ref="M64:T64"/>
    <mergeCell ref="M65:T65"/>
    <mergeCell ref="M66:T66"/>
    <mergeCell ref="M67:T67"/>
    <mergeCell ref="M58:T58"/>
    <mergeCell ref="M59:T59"/>
    <mergeCell ref="M60:T60"/>
    <mergeCell ref="M61:T61"/>
    <mergeCell ref="M62:T62"/>
    <mergeCell ref="M49:T49"/>
    <mergeCell ref="M50:T50"/>
    <mergeCell ref="M51:T51"/>
    <mergeCell ref="M56:T56"/>
    <mergeCell ref="M57:T57"/>
    <mergeCell ref="M32:T32"/>
    <mergeCell ref="M33:T33"/>
    <mergeCell ref="M24:T24"/>
    <mergeCell ref="M25:T25"/>
    <mergeCell ref="M26:T26"/>
    <mergeCell ref="M44:T44"/>
    <mergeCell ref="M45:T45"/>
    <mergeCell ref="M46:T46"/>
    <mergeCell ref="M47:T47"/>
    <mergeCell ref="M41:T41"/>
    <mergeCell ref="M42:T42"/>
    <mergeCell ref="M43:T43"/>
    <mergeCell ref="M34:T34"/>
    <mergeCell ref="M48:T48"/>
    <mergeCell ref="U1:U2"/>
    <mergeCell ref="W1:W2"/>
    <mergeCell ref="M12:T12"/>
    <mergeCell ref="M13:T13"/>
    <mergeCell ref="M14:T14"/>
    <mergeCell ref="M1:T1"/>
    <mergeCell ref="M3:T3"/>
    <mergeCell ref="M5:T5"/>
    <mergeCell ref="M35:T35"/>
    <mergeCell ref="M27:T27"/>
    <mergeCell ref="M28:T28"/>
    <mergeCell ref="M39:T39"/>
    <mergeCell ref="M40:T40"/>
    <mergeCell ref="M7:T7"/>
    <mergeCell ref="M15:T15"/>
    <mergeCell ref="M20:T20"/>
    <mergeCell ref="M21:T21"/>
    <mergeCell ref="M22:T22"/>
    <mergeCell ref="M23:T23"/>
    <mergeCell ref="M29:T29"/>
    <mergeCell ref="M30:T30"/>
    <mergeCell ref="M31:T31"/>
    <mergeCell ref="M36:T36"/>
    <mergeCell ref="M37:T37"/>
    <mergeCell ref="M38:T38"/>
    <mergeCell ref="M81:T81"/>
    <mergeCell ref="M68:T68"/>
    <mergeCell ref="M69:T69"/>
    <mergeCell ref="M74:T74"/>
    <mergeCell ref="M75:T75"/>
    <mergeCell ref="M76:T76"/>
    <mergeCell ref="M87:T87"/>
    <mergeCell ref="M88:T88"/>
    <mergeCell ref="M89:T89"/>
    <mergeCell ref="M77:T77"/>
    <mergeCell ref="M78:T78"/>
    <mergeCell ref="M79:T79"/>
    <mergeCell ref="M80:T80"/>
    <mergeCell ref="M96:T96"/>
    <mergeCell ref="M97:T97"/>
    <mergeCell ref="M82:T82"/>
    <mergeCell ref="M83:T83"/>
    <mergeCell ref="M84:T84"/>
    <mergeCell ref="M85:T85"/>
    <mergeCell ref="M86:T86"/>
    <mergeCell ref="M91:T91"/>
    <mergeCell ref="M103:T103"/>
    <mergeCell ref="M106:T106"/>
    <mergeCell ref="M107:T107"/>
    <mergeCell ref="M112:T112"/>
    <mergeCell ref="M113:T113"/>
    <mergeCell ref="M98:T98"/>
    <mergeCell ref="M99:T99"/>
    <mergeCell ref="M100:T100"/>
    <mergeCell ref="M101:T101"/>
    <mergeCell ref="M102:T102"/>
    <mergeCell ref="M105:T105"/>
    <mergeCell ref="M104:T104"/>
    <mergeCell ref="M119:T119"/>
    <mergeCell ref="M120:T120"/>
    <mergeCell ref="M121:T121"/>
    <mergeCell ref="M122:T122"/>
    <mergeCell ref="M123:T123"/>
    <mergeCell ref="M114:T114"/>
    <mergeCell ref="M115:T115"/>
    <mergeCell ref="M116:T116"/>
    <mergeCell ref="M117:T117"/>
    <mergeCell ref="M118:T118"/>
    <mergeCell ref="M133:T133"/>
    <mergeCell ref="M134:T134"/>
    <mergeCell ref="M135:T135"/>
    <mergeCell ref="M136:T136"/>
    <mergeCell ref="M137:T137"/>
    <mergeCell ref="M124:T124"/>
    <mergeCell ref="M125:T125"/>
    <mergeCell ref="M126:T126"/>
    <mergeCell ref="M127:T127"/>
    <mergeCell ref="M128:T128"/>
    <mergeCell ref="M147:T147"/>
    <mergeCell ref="M148:T148"/>
    <mergeCell ref="M149:T149"/>
    <mergeCell ref="M150:T150"/>
    <mergeCell ref="M151:T151"/>
    <mergeCell ref="M138:T138"/>
    <mergeCell ref="M139:T139"/>
    <mergeCell ref="M140:T140"/>
    <mergeCell ref="M141:T141"/>
    <mergeCell ref="M146:T146"/>
    <mergeCell ref="M164:T164"/>
    <mergeCell ref="M165:T165"/>
    <mergeCell ref="M166:T166"/>
    <mergeCell ref="M167:T167"/>
    <mergeCell ref="M168:T168"/>
    <mergeCell ref="M152:T152"/>
    <mergeCell ref="M153:T153"/>
    <mergeCell ref="M155:T155"/>
    <mergeCell ref="M156:T156"/>
    <mergeCell ref="M163:T163"/>
    <mergeCell ref="M158:T158"/>
    <mergeCell ref="M154:T154"/>
    <mergeCell ref="M178:T178"/>
    <mergeCell ref="M179:T179"/>
    <mergeCell ref="M180:T180"/>
    <mergeCell ref="M181:T181"/>
    <mergeCell ref="M182:T182"/>
    <mergeCell ref="M169:T169"/>
    <mergeCell ref="M170:T170"/>
    <mergeCell ref="M171:T171"/>
    <mergeCell ref="M172:T172"/>
    <mergeCell ref="M177:T177"/>
    <mergeCell ref="M192:T192"/>
    <mergeCell ref="M193:T193"/>
    <mergeCell ref="M194:T194"/>
    <mergeCell ref="M195:T195"/>
    <mergeCell ref="M196:T196"/>
    <mergeCell ref="M183:T183"/>
    <mergeCell ref="M184:T184"/>
    <mergeCell ref="M185:T185"/>
    <mergeCell ref="M186:T186"/>
    <mergeCell ref="M191:T191"/>
    <mergeCell ref="M211:T211"/>
    <mergeCell ref="M212:T212"/>
    <mergeCell ref="M213:T213"/>
    <mergeCell ref="M206:T206"/>
    <mergeCell ref="M207:T207"/>
    <mergeCell ref="M208:T208"/>
    <mergeCell ref="M209:T209"/>
    <mergeCell ref="M210:T210"/>
    <mergeCell ref="M197:T197"/>
    <mergeCell ref="M198:T198"/>
    <mergeCell ref="M199:T199"/>
    <mergeCell ref="M200:T200"/>
    <mergeCell ref="M205:T205"/>
  </mergeCells>
  <conditionalFormatting sqref="E3">
    <cfRule type="dataBar" priority="389">
      <dataBar>
        <cfvo type="num" val="0.1"/>
        <cfvo type="num" val="1"/>
        <color theme="9" tint="0.39997558519241921"/>
      </dataBar>
      <extLst>
        <ext xmlns:x14="http://schemas.microsoft.com/office/spreadsheetml/2009/9/main" uri="{B025F937-C7B1-47D3-B67F-A62EFF666E3E}">
          <x14:id>{AF5CE5AD-C183-4951-BD80-AC22A49F33C6}</x14:id>
        </ext>
      </extLst>
    </cfRule>
  </conditionalFormatting>
  <conditionalFormatting sqref="E8">
    <cfRule type="dataBar" priority="388">
      <dataBar>
        <cfvo type="num" val="0.1"/>
        <cfvo type="num" val="1"/>
        <color theme="9" tint="0.39997558519241921"/>
      </dataBar>
      <extLst>
        <ext xmlns:x14="http://schemas.microsoft.com/office/spreadsheetml/2009/9/main" uri="{B025F937-C7B1-47D3-B67F-A62EFF666E3E}">
          <x14:id>{EE77DEF8-C8BB-4CDD-A822-EBF242BBB818}</x14:id>
        </ext>
      </extLst>
    </cfRule>
  </conditionalFormatting>
  <conditionalFormatting sqref="E11:E15">
    <cfRule type="expression" dxfId="270" priority="253">
      <formula>AND(B11&lt;&gt;1,ISNUMBER(C11),ISNUMBER(D11))</formula>
    </cfRule>
  </conditionalFormatting>
  <conditionalFormatting sqref="E19:E20">
    <cfRule type="expression" dxfId="269" priority="249">
      <formula>AND(B19&lt;&gt;1,ISNUMBER(C19),ISNUMBER(D19))</formula>
    </cfRule>
  </conditionalFormatting>
  <conditionalFormatting sqref="E22:E51">
    <cfRule type="expression" dxfId="268" priority="250">
      <formula>AND(B22&lt;&gt;1,ISNUMBER(C22),ISNUMBER(D22))</formula>
    </cfRule>
  </conditionalFormatting>
  <conditionalFormatting sqref="E55:E69">
    <cfRule type="expression" dxfId="267" priority="248">
      <formula>AND(B55&lt;&gt;1,ISNUMBER(C55),ISNUMBER(D55))</formula>
    </cfRule>
  </conditionalFormatting>
  <conditionalFormatting sqref="E73:E89">
    <cfRule type="expression" dxfId="266" priority="247">
      <formula>AND(B73&lt;&gt;1,ISNUMBER(C73),ISNUMBER(D73))</formula>
    </cfRule>
  </conditionalFormatting>
  <conditionalFormatting sqref="E92">
    <cfRule type="dataBar" priority="387">
      <dataBar>
        <cfvo type="num" val="0.1"/>
        <cfvo type="num" val="1"/>
        <color theme="9" tint="0.39997558519241921"/>
      </dataBar>
      <extLst>
        <ext xmlns:x14="http://schemas.microsoft.com/office/spreadsheetml/2009/9/main" uri="{B025F937-C7B1-47D3-B67F-A62EFF666E3E}">
          <x14:id>{AD4ADB6F-98F7-4D75-9EAF-26F15164C5F0}</x14:id>
        </ext>
      </extLst>
    </cfRule>
  </conditionalFormatting>
  <conditionalFormatting sqref="E95:E107">
    <cfRule type="expression" dxfId="265" priority="246">
      <formula>AND(B95&lt;&gt;1,ISNUMBER(C95),ISNUMBER(D95))</formula>
    </cfRule>
  </conditionalFormatting>
  <conditionalFormatting sqref="E111:E128">
    <cfRule type="expression" dxfId="264" priority="262">
      <formula>AND(B111&lt;&gt;1,ISNUMBER(C111),ISNUMBER(D111))</formula>
    </cfRule>
  </conditionalFormatting>
  <conditionalFormatting sqref="E132:E141">
    <cfRule type="expression" dxfId="263" priority="261">
      <formula>AND(B132&lt;&gt;1,ISNUMBER(C132),ISNUMBER(D132))</formula>
    </cfRule>
  </conditionalFormatting>
  <conditionalFormatting sqref="E145">
    <cfRule type="expression" dxfId="262" priority="259">
      <formula>AND(B145&lt;&gt;1,ISNUMBER(C145),D145="PG")</formula>
    </cfRule>
  </conditionalFormatting>
  <conditionalFormatting sqref="E146:E156">
    <cfRule type="expression" dxfId="261" priority="260">
      <formula>AND(B146&lt;&gt;1,ISNUMBER(C146),ISNUMBER(D146))</formula>
    </cfRule>
  </conditionalFormatting>
  <conditionalFormatting sqref="E159">
    <cfRule type="dataBar" priority="386">
      <dataBar>
        <cfvo type="num" val="0.1"/>
        <cfvo type="num" val="1"/>
        <color theme="9" tint="0.39997558519241921"/>
      </dataBar>
      <extLst>
        <ext xmlns:x14="http://schemas.microsoft.com/office/spreadsheetml/2009/9/main" uri="{B025F937-C7B1-47D3-B67F-A62EFF666E3E}">
          <x14:id>{503C4830-CCA6-421C-81F3-E211C340A274}</x14:id>
        </ext>
      </extLst>
    </cfRule>
  </conditionalFormatting>
  <conditionalFormatting sqref="E162:E172">
    <cfRule type="expression" dxfId="260" priority="245">
      <formula>AND(B162&lt;&gt;1,ISNUMBER(C162),ISNUMBER(D162))</formula>
    </cfRule>
  </conditionalFormatting>
  <conditionalFormatting sqref="E176:E186">
    <cfRule type="expression" dxfId="259" priority="244">
      <formula>AND(B176&lt;&gt;1,ISNUMBER(C176),ISNUMBER(D176))</formula>
    </cfRule>
  </conditionalFormatting>
  <conditionalFormatting sqref="E190">
    <cfRule type="expression" dxfId="258" priority="242">
      <formula>AND(B190&lt;&gt;1,ISNUMBER(C190),D190="PG")</formula>
    </cfRule>
  </conditionalFormatting>
  <conditionalFormatting sqref="E191:E200">
    <cfRule type="expression" dxfId="257" priority="243">
      <formula>AND(B191&lt;&gt;1,ISNUMBER(C191),ISNUMBER(D191))</formula>
    </cfRule>
  </conditionalFormatting>
  <conditionalFormatting sqref="E204:E213">
    <cfRule type="expression" dxfId="256" priority="241">
      <formula>AND(B204&lt;&gt;1,ISNUMBER(C204),ISNUMBER(D204))</formula>
    </cfRule>
  </conditionalFormatting>
  <conditionalFormatting sqref="F11:F15">
    <cfRule type="expression" dxfId="255" priority="125">
      <formula>OR(AND($B11=1,LEN(F11)&gt;1,F11&lt;&gt;"NA"),AND($B11=0,ISNUMBER($C11)))</formula>
    </cfRule>
  </conditionalFormatting>
  <conditionalFormatting sqref="F19:F30">
    <cfRule type="expression" dxfId="254" priority="5">
      <formula>OR(AND($B19=1,LEN(F19)&gt;1,F19&lt;&gt;"NA"),AND($B19=0,ISNUMBER($C19)))</formula>
    </cfRule>
  </conditionalFormatting>
  <conditionalFormatting sqref="F32:F40">
    <cfRule type="expression" dxfId="253" priority="101">
      <formula>OR(AND($B32=1,LEN(F32)&gt;1,F32&lt;&gt;"NA"),AND($B32=0,ISNUMBER($C32)))</formula>
    </cfRule>
  </conditionalFormatting>
  <conditionalFormatting sqref="F43:F51">
    <cfRule type="expression" dxfId="252" priority="93">
      <formula>OR(AND($B43=1,LEN(F43)&gt;1,F43&lt;&gt;"NA"),AND($B43=0,ISNUMBER($C43)))</formula>
    </cfRule>
  </conditionalFormatting>
  <conditionalFormatting sqref="F55:F69">
    <cfRule type="expression" dxfId="251" priority="85">
      <formula>OR(AND($B55=1,LEN(F55)&gt;1,F55&lt;&gt;"NA"),AND($B55=0,ISNUMBER($C55)))</formula>
    </cfRule>
  </conditionalFormatting>
  <conditionalFormatting sqref="F73:F89">
    <cfRule type="expression" dxfId="250" priority="77">
      <formula>OR(AND($B73=1,LEN(F73)&gt;1,F73&lt;&gt;"NA"),AND($B73=0,ISNUMBER($C73)))</formula>
    </cfRule>
  </conditionalFormatting>
  <conditionalFormatting sqref="F95:F107">
    <cfRule type="expression" dxfId="249" priority="69">
      <formula>OR(AND($B95=1,LEN(F95)&gt;1,F95&lt;&gt;"NA"),AND($B95=0,ISNUMBER($C95)))</formula>
    </cfRule>
  </conditionalFormatting>
  <conditionalFormatting sqref="F111:F128">
    <cfRule type="expression" dxfId="248" priority="61">
      <formula>OR(AND($B111=1,LEN(F111)&gt;1,F111&lt;&gt;"NA"),AND($B111=0,ISNUMBER($C111)))</formula>
    </cfRule>
  </conditionalFormatting>
  <conditionalFormatting sqref="F132:F141">
    <cfRule type="expression" dxfId="247" priority="53">
      <formula>OR(AND($B132=1,LEN(F132)&gt;1,F132&lt;&gt;"NA"),AND($B132=0,ISNUMBER($C132)))</formula>
    </cfRule>
  </conditionalFormatting>
  <conditionalFormatting sqref="F145:F156">
    <cfRule type="expression" dxfId="246" priority="45">
      <formula>OR(AND($B145=1,LEN(F145)&gt;1,F145&lt;&gt;"NA"),AND($B145=0,ISNUMBER($C145)))</formula>
    </cfRule>
  </conditionalFormatting>
  <conditionalFormatting sqref="F162:F172">
    <cfRule type="expression" dxfId="245" priority="37">
      <formula>OR(AND($B162=1,LEN(F162)&gt;1,F162&lt;&gt;"NA"),AND($B162=0,ISNUMBER($C162)))</formula>
    </cfRule>
  </conditionalFormatting>
  <conditionalFormatting sqref="F176:F186">
    <cfRule type="expression" dxfId="244" priority="29">
      <formula>OR(AND($B176=1,LEN(F176)&gt;1,F176&lt;&gt;"NA"),AND($B176=0,ISNUMBER($C176)))</formula>
    </cfRule>
  </conditionalFormatting>
  <conditionalFormatting sqref="F190:F200">
    <cfRule type="expression" dxfId="243" priority="21">
      <formula>OR(AND($B190=1,LEN(F190)&gt;1,F190&lt;&gt;"NA"),AND($B190=0,ISNUMBER($C190)))</formula>
    </cfRule>
  </conditionalFormatting>
  <conditionalFormatting sqref="F204:F213">
    <cfRule type="expression" dxfId="242" priority="13">
      <formula>OR(AND($B204=1,LEN(F204)&gt;1,F204&lt;&gt;"NA"),AND($B204=0,ISNUMBER($C204)))</formula>
    </cfRule>
  </conditionalFormatting>
  <conditionalFormatting sqref="G11:G15">
    <cfRule type="expression" dxfId="241" priority="129">
      <formula>AND(B11=1,OR(F11="S",F11="N"), NOT(ISBLANK(G11)))</formula>
    </cfRule>
    <cfRule type="expression" dxfId="240" priority="124" stopIfTrue="1">
      <formula>AND(B11=1,OR(F11="S",F11="N",ISBLANK(F11)), ISBLANK(G11))</formula>
    </cfRule>
    <cfRule type="expression" dxfId="239" priority="123" stopIfTrue="1">
      <formula>AND(B11=1,F11="NA", ISBLANK(G11))</formula>
    </cfRule>
  </conditionalFormatting>
  <conditionalFormatting sqref="G19:G30">
    <cfRule type="expression" dxfId="238" priority="9">
      <formula>AND(B19=1,OR(F19="S",F19="N"), NOT(ISBLANK(G19)))</formula>
    </cfRule>
    <cfRule type="expression" dxfId="237" priority="4" stopIfTrue="1">
      <formula>AND(B19=1,OR(F19="S",F19="N",ISBLANK(F19)), ISBLANK(G19))</formula>
    </cfRule>
    <cfRule type="expression" dxfId="236" priority="3" stopIfTrue="1">
      <formula>AND(B19=1,F19="NA", ISBLANK(G19))</formula>
    </cfRule>
  </conditionalFormatting>
  <conditionalFormatting sqref="G31 G41:G42">
    <cfRule type="expression" dxfId="235" priority="350">
      <formula>AND(B31=1,F31="S", NOT(ISBLANK(G31)))</formula>
    </cfRule>
  </conditionalFormatting>
  <conditionalFormatting sqref="G32:G40">
    <cfRule type="expression" dxfId="234" priority="105">
      <formula>AND(B32=1,OR(F32="S",F32="N"), NOT(ISBLANK(G32)))</formula>
    </cfRule>
    <cfRule type="expression" dxfId="233" priority="100" stopIfTrue="1">
      <formula>AND(B32=1,OR(F32="S",F32="N",ISBLANK(F32)), ISBLANK(G32))</formula>
    </cfRule>
    <cfRule type="expression" dxfId="232" priority="99" stopIfTrue="1">
      <formula>AND(B32=1,F32="NA", ISBLANK(G32))</formula>
    </cfRule>
  </conditionalFormatting>
  <conditionalFormatting sqref="G43:G51">
    <cfRule type="expression" dxfId="231" priority="91" stopIfTrue="1">
      <formula>AND(B43=1,F43="NA", ISBLANK(G43))</formula>
    </cfRule>
    <cfRule type="expression" dxfId="230" priority="97">
      <formula>AND(B43=1,OR(F43="S",F43="N"), NOT(ISBLANK(G43)))</formula>
    </cfRule>
    <cfRule type="expression" dxfId="229" priority="92" stopIfTrue="1">
      <formula>AND(B43=1,OR(F43="S",F43="N",ISBLANK(F43)), ISBLANK(G43))</formula>
    </cfRule>
  </conditionalFormatting>
  <conditionalFormatting sqref="G55:G69">
    <cfRule type="expression" dxfId="228" priority="89">
      <formula>AND(B55=1,OR(F55="S",F55="N"), NOT(ISBLANK(G55)))</formula>
    </cfRule>
    <cfRule type="expression" dxfId="227" priority="84" stopIfTrue="1">
      <formula>AND(B55=1,OR(F55="S",F55="N",ISBLANK(F55)), ISBLANK(G55))</formula>
    </cfRule>
    <cfRule type="expression" dxfId="226" priority="83" stopIfTrue="1">
      <formula>AND(B55=1,F55="NA", ISBLANK(G55))</formula>
    </cfRule>
  </conditionalFormatting>
  <conditionalFormatting sqref="G73:G89">
    <cfRule type="expression" dxfId="225" priority="75" stopIfTrue="1">
      <formula>AND(B73=1,F73="NA", ISBLANK(G73))</formula>
    </cfRule>
    <cfRule type="expression" dxfId="224" priority="76" stopIfTrue="1">
      <formula>AND(B73=1,OR(F73="S",F73="N",ISBLANK(F73)), ISBLANK(G73))</formula>
    </cfRule>
    <cfRule type="expression" dxfId="223" priority="81">
      <formula>AND(B73=1,OR(F73="S",F73="N"), NOT(ISBLANK(G73)))</formula>
    </cfRule>
  </conditionalFormatting>
  <conditionalFormatting sqref="G95:G107">
    <cfRule type="expression" dxfId="222" priority="68" stopIfTrue="1">
      <formula>AND(B95=1,OR(F95="S",F95="N",ISBLANK(F95)), ISBLANK(G95))</formula>
    </cfRule>
    <cfRule type="expression" dxfId="221" priority="73">
      <formula>AND(B95=1,OR(F95="S",F95="N"), NOT(ISBLANK(G95)))</formula>
    </cfRule>
    <cfRule type="expression" dxfId="220" priority="67" stopIfTrue="1">
      <formula>AND(B95=1,F95="NA", ISBLANK(G95))</formula>
    </cfRule>
  </conditionalFormatting>
  <conditionalFormatting sqref="G111:G128">
    <cfRule type="expression" dxfId="219" priority="65">
      <formula>AND(B111=1,OR(F111="S",F111="N"), NOT(ISBLANK(G111)))</formula>
    </cfRule>
    <cfRule type="expression" dxfId="218" priority="59" stopIfTrue="1">
      <formula>AND(B111=1,F111="NA", ISBLANK(G111))</formula>
    </cfRule>
    <cfRule type="expression" dxfId="217" priority="60" stopIfTrue="1">
      <formula>AND(B111=1,OR(F111="S",F111="N",ISBLANK(F111)), ISBLANK(G111))</formula>
    </cfRule>
  </conditionalFormatting>
  <conditionalFormatting sqref="G132:G141">
    <cfRule type="expression" dxfId="216" priority="57">
      <formula>AND(B132=1,OR(F132="S",F132="N"), NOT(ISBLANK(G132)))</formula>
    </cfRule>
    <cfRule type="expression" dxfId="215" priority="51" stopIfTrue="1">
      <formula>AND(B132=1,F132="NA", ISBLANK(G132))</formula>
    </cfRule>
    <cfRule type="expression" dxfId="214" priority="52" stopIfTrue="1">
      <formula>AND(B132=1,OR(F132="S",F132="N",ISBLANK(F132)), ISBLANK(G132))</formula>
    </cfRule>
  </conditionalFormatting>
  <conditionalFormatting sqref="G145:G156">
    <cfRule type="expression" dxfId="213" priority="44" stopIfTrue="1">
      <formula>AND(B145=1,OR(F145="S",F145="N",ISBLANK(F145)), ISBLANK(G145))</formula>
    </cfRule>
    <cfRule type="expression" dxfId="212" priority="49">
      <formula>AND(B145=1,OR(F145="S",F145="N"), NOT(ISBLANK(G145)))</formula>
    </cfRule>
    <cfRule type="expression" dxfId="211" priority="43" stopIfTrue="1">
      <formula>AND(B145=1,F145="NA", ISBLANK(G145))</formula>
    </cfRule>
  </conditionalFormatting>
  <conditionalFormatting sqref="G162:G172">
    <cfRule type="expression" dxfId="210" priority="36" stopIfTrue="1">
      <formula>AND(B162=1,OR(F162="S",F162="N",ISBLANK(F162)), ISBLANK(G162))</formula>
    </cfRule>
    <cfRule type="expression" dxfId="209" priority="41">
      <formula>AND(B162=1,OR(F162="S",F162="N"), NOT(ISBLANK(G162)))</formula>
    </cfRule>
    <cfRule type="expression" dxfId="208" priority="35" stopIfTrue="1">
      <formula>AND(B162=1,F162="NA", ISBLANK(G162))</formula>
    </cfRule>
  </conditionalFormatting>
  <conditionalFormatting sqref="G176:G186">
    <cfRule type="expression" dxfId="207" priority="33">
      <formula>AND(B176=1,OR(F176="S",F176="N"), NOT(ISBLANK(G176)))</formula>
    </cfRule>
    <cfRule type="expression" dxfId="206" priority="27" stopIfTrue="1">
      <formula>AND(B176=1,F176="NA", ISBLANK(G176))</formula>
    </cfRule>
    <cfRule type="expression" dxfId="205" priority="28" stopIfTrue="1">
      <formula>AND(B176=1,OR(F176="S",F176="N",ISBLANK(F176)), ISBLANK(G176))</formula>
    </cfRule>
  </conditionalFormatting>
  <conditionalFormatting sqref="G190:G200">
    <cfRule type="expression" dxfId="204" priority="20" stopIfTrue="1">
      <formula>AND(B190=1,OR(F190="S",F190="N",ISBLANK(F190)), ISBLANK(G190))</formula>
    </cfRule>
    <cfRule type="expression" dxfId="203" priority="19" stopIfTrue="1">
      <formula>AND(B190=1,F190="NA", ISBLANK(G190))</formula>
    </cfRule>
    <cfRule type="expression" dxfId="202" priority="25">
      <formula>AND(B190=1,OR(F190="S",F190="N"), NOT(ISBLANK(G190)))</formula>
    </cfRule>
  </conditionalFormatting>
  <conditionalFormatting sqref="G204:G213">
    <cfRule type="expression" dxfId="201" priority="17">
      <formula>AND(B204=1,OR(F204="S",F204="N"), NOT(ISBLANK(G204)))</formula>
    </cfRule>
    <cfRule type="expression" dxfId="200" priority="12" stopIfTrue="1">
      <formula>AND(B204=1,OR(F204="S",F204="N",ISBLANK(F204)), ISBLANK(G204))</formula>
    </cfRule>
    <cfRule type="expression" dxfId="199" priority="11" stopIfTrue="1">
      <formula>AND(B204=1,F204="NA", ISBLANK(G204))</formula>
    </cfRule>
  </conditionalFormatting>
  <conditionalFormatting sqref="K11:K15">
    <cfRule type="expression" dxfId="198" priority="126" stopIfTrue="1">
      <formula>AND($B11=1,OR($F11="S",$F11="P"),ISBLANK($K11))</formula>
    </cfRule>
    <cfRule type="expression" dxfId="197" priority="122" stopIfTrue="1">
      <formula>AND($B11=1,OR($F11="N",$F11="NA"))</formula>
    </cfRule>
  </conditionalFormatting>
  <conditionalFormatting sqref="K19:K30">
    <cfRule type="expression" dxfId="195" priority="2" stopIfTrue="1">
      <formula>AND($B19=1,OR($F19="N",$F19="NA"))</formula>
    </cfRule>
    <cfRule type="expression" dxfId="194" priority="6" stopIfTrue="1">
      <formula>AND($B19=1,OR($F19="S",$F19="P"),ISBLANK($K19))</formula>
    </cfRule>
  </conditionalFormatting>
  <conditionalFormatting sqref="K32:K40">
    <cfRule type="expression" dxfId="192" priority="98" stopIfTrue="1">
      <formula>AND($B32=1,OR($F32="N",$F32="NA"))</formula>
    </cfRule>
    <cfRule type="expression" dxfId="191" priority="102" stopIfTrue="1">
      <formula>AND($B32=1,OR($F32="S",$F32="P"),ISBLANK($K32))</formula>
    </cfRule>
  </conditionalFormatting>
  <conditionalFormatting sqref="K43:K51">
    <cfRule type="expression" dxfId="188" priority="94" stopIfTrue="1">
      <formula>AND($B43=1,OR($F43="S",$F43="P"),ISBLANK($K43))</formula>
    </cfRule>
    <cfRule type="expression" dxfId="187" priority="90" stopIfTrue="1">
      <formula>AND($B43=1,OR($F43="N",$F43="NA"))</formula>
    </cfRule>
  </conditionalFormatting>
  <conditionalFormatting sqref="K55:K69">
    <cfRule type="expression" dxfId="186" priority="82" stopIfTrue="1">
      <formula>AND($B55=1,OR($F55="N",$F55="NA"))</formula>
    </cfRule>
    <cfRule type="expression" dxfId="185" priority="86" stopIfTrue="1">
      <formula>AND($B55=1,OR($F55="S",$F55="P"),ISBLANK($K55))</formula>
    </cfRule>
  </conditionalFormatting>
  <conditionalFormatting sqref="K73:K89">
    <cfRule type="expression" dxfId="183" priority="74" stopIfTrue="1">
      <formula>AND($B73=1,OR($F73="N",$F73="NA"))</formula>
    </cfRule>
    <cfRule type="expression" dxfId="182" priority="78" stopIfTrue="1">
      <formula>AND($B73=1,OR($F73="S",$F73="P"),ISBLANK($K73))</formula>
    </cfRule>
  </conditionalFormatting>
  <conditionalFormatting sqref="K95:K107">
    <cfRule type="expression" dxfId="180" priority="66" stopIfTrue="1">
      <formula>AND($B95=1,OR($F95="N",$F95="NA"))</formula>
    </cfRule>
    <cfRule type="expression" dxfId="179" priority="70" stopIfTrue="1">
      <formula>AND($B95=1,OR($F95="S",$F95="P"),ISBLANK($K95))</formula>
    </cfRule>
  </conditionalFormatting>
  <conditionalFormatting sqref="K111:K128">
    <cfRule type="expression" dxfId="177" priority="58" stopIfTrue="1">
      <formula>AND($B111=1,OR($F111="N",$F111="NA"))</formula>
    </cfRule>
    <cfRule type="expression" dxfId="176" priority="62" stopIfTrue="1">
      <formula>AND($B111=1,OR($F111="S",$F111="P"),ISBLANK($K111))</formula>
    </cfRule>
  </conditionalFormatting>
  <conditionalFormatting sqref="K132:K141">
    <cfRule type="expression" dxfId="174" priority="54" stopIfTrue="1">
      <formula>AND($B132=1,OR($F132="S",$F132="P"),ISBLANK($K132))</formula>
    </cfRule>
    <cfRule type="expression" dxfId="172" priority="50" stopIfTrue="1">
      <formula>AND($B132=1,OR($F132="N",$F132="NA"))</formula>
    </cfRule>
  </conditionalFormatting>
  <conditionalFormatting sqref="K145:K156">
    <cfRule type="expression" dxfId="171" priority="42" stopIfTrue="1">
      <formula>AND($B145=1,OR($F145="N",$F145="NA"))</formula>
    </cfRule>
    <cfRule type="expression" dxfId="169" priority="46" stopIfTrue="1">
      <formula>AND($B145=1,OR($F145="S",$F145="P"),ISBLANK($K145))</formula>
    </cfRule>
  </conditionalFormatting>
  <conditionalFormatting sqref="K162:K172">
    <cfRule type="expression" dxfId="168" priority="34" stopIfTrue="1">
      <formula>AND($B162=1,OR($F162="N",$F162="NA"))</formula>
    </cfRule>
    <cfRule type="expression" dxfId="167" priority="38" stopIfTrue="1">
      <formula>AND($B162=1,OR($F162="S",$F162="P"),ISBLANK($K162))</formula>
    </cfRule>
  </conditionalFormatting>
  <conditionalFormatting sqref="K176:K186">
    <cfRule type="expression" dxfId="165" priority="26" stopIfTrue="1">
      <formula>AND($B176=1,OR($F176="N",$F176="NA"))</formula>
    </cfRule>
    <cfRule type="expression" dxfId="164" priority="30" stopIfTrue="1">
      <formula>AND($B176=1,OR($F176="S",$F176="P"),ISBLANK($K176))</formula>
    </cfRule>
  </conditionalFormatting>
  <conditionalFormatting sqref="K190:K200">
    <cfRule type="expression" dxfId="161" priority="22" stopIfTrue="1">
      <formula>AND($B190=1,OR($F190="S",$F190="P"),ISBLANK($K190))</formula>
    </cfRule>
    <cfRule type="expression" dxfId="160" priority="18" stopIfTrue="1">
      <formula>AND($B190=1,OR($F190="N",$F190="NA"))</formula>
    </cfRule>
  </conditionalFormatting>
  <conditionalFormatting sqref="K204:K213">
    <cfRule type="expression" dxfId="158" priority="14" stopIfTrue="1">
      <formula>AND($B204=1,OR($F204="S",$F204="P"),ISBLANK($K204))</formula>
    </cfRule>
    <cfRule type="expression" dxfId="157" priority="10" stopIfTrue="1">
      <formula>AND($B204=1,OR($F204="N",$F204="NA"))</formula>
    </cfRule>
  </conditionalFormatting>
  <conditionalFormatting sqref="V5">
    <cfRule type="expression" dxfId="156" priority="1">
      <formula>AND((L5=1),ISBLANK($V5))</formula>
    </cfRule>
  </conditionalFormatting>
  <conditionalFormatting sqref="V11:V15">
    <cfRule type="expression" dxfId="155" priority="127">
      <formula>AND((L11=1),ISBLANK($V11))</formula>
    </cfRule>
  </conditionalFormatting>
  <conditionalFormatting sqref="V19:V30">
    <cfRule type="expression" dxfId="154" priority="7">
      <formula>AND((L19=1),ISBLANK($V19))</formula>
    </cfRule>
  </conditionalFormatting>
  <conditionalFormatting sqref="V32:V40">
    <cfRule type="expression" dxfId="153" priority="103">
      <formula>AND((L32=1),ISBLANK($V32))</formula>
    </cfRule>
  </conditionalFormatting>
  <conditionalFormatting sqref="V43:V51">
    <cfRule type="expression" dxfId="152" priority="95">
      <formula>AND((L43=1),ISBLANK($V43))</formula>
    </cfRule>
  </conditionalFormatting>
  <conditionalFormatting sqref="V55:V69">
    <cfRule type="expression" dxfId="151" priority="87">
      <formula>AND((L55=1),ISBLANK($V55))</formula>
    </cfRule>
  </conditionalFormatting>
  <conditionalFormatting sqref="V73:V89">
    <cfRule type="expression" dxfId="150" priority="79">
      <formula>AND((L73=1),ISBLANK($V73))</formula>
    </cfRule>
  </conditionalFormatting>
  <conditionalFormatting sqref="V95:V107">
    <cfRule type="expression" dxfId="149" priority="71">
      <formula>AND((L95=1),ISBLANK($V95))</formula>
    </cfRule>
  </conditionalFormatting>
  <conditionalFormatting sqref="V111:V128">
    <cfRule type="expression" dxfId="148" priority="63">
      <formula>AND((L111=1),ISBLANK($V111))</formula>
    </cfRule>
  </conditionalFormatting>
  <conditionalFormatting sqref="V132:V141">
    <cfRule type="expression" dxfId="147" priority="55">
      <formula>AND((L132=1),ISBLANK($V132))</formula>
    </cfRule>
  </conditionalFormatting>
  <conditionalFormatting sqref="V145:V156">
    <cfRule type="expression" dxfId="146" priority="47">
      <formula>AND((L145=1),ISBLANK($V145))</formula>
    </cfRule>
  </conditionalFormatting>
  <conditionalFormatting sqref="V162:V172">
    <cfRule type="expression" dxfId="145" priority="39">
      <formula>AND((L162=1),ISBLANK($V162))</formula>
    </cfRule>
  </conditionalFormatting>
  <conditionalFormatting sqref="V176:V186">
    <cfRule type="expression" dxfId="144" priority="31">
      <formula>AND((L176=1),ISBLANK($V176))</formula>
    </cfRule>
  </conditionalFormatting>
  <conditionalFormatting sqref="V190:V200">
    <cfRule type="expression" dxfId="143" priority="23">
      <formula>AND((L190=1),ISBLANK($V190))</formula>
    </cfRule>
  </conditionalFormatting>
  <conditionalFormatting sqref="V204:V213">
    <cfRule type="expression" dxfId="142" priority="15">
      <formula>AND((L204=1),ISBLANK($V204))</formula>
    </cfRule>
  </conditionalFormatting>
  <dataValidations count="7">
    <dataValidation type="list" allowBlank="1" showDropDown="1" showInputMessage="1" showErrorMessage="1" error="opção inválida!" sqref="F31 F41:F42 I41:I42 I31" xr:uid="{00000000-0002-0000-0700-000000000000}">
      <formula1>"s,n,S,N"</formula1>
    </dataValidation>
    <dataValidation type="list" allowBlank="1" showInputMessage="1" showErrorMessage="1" error="Opção inválida!" sqref="U145 U132 U176 U162 U204 U11 M176:O176 U55 U73 U95 U111 M145:O145 U190 Q145:S145 M11:O11 M95:O95 M19:O19 M55:O55 M73:O73 Q95:S95 M111:O111 M132:O132 Q132:S132 M162:O162 Q162:S162 Q11:S11 Q176:S176 Q111:S111 Q19:S19 Q55:S55 Q73:S73 M190:O190 Q190:S190 U19 M204:O204 Q204:S204" xr:uid="{12E6528E-2D1F-42C3-A206-2BFA70EA6191}">
      <formula1>"0,1,2,3,4"</formula1>
    </dataValidation>
    <dataValidation type="list" allowBlank="1" showDropDown="1" showInputMessage="1" showErrorMessage="1" error="opção inválida!" sqref="I111:I128 I145:I156 I11:I15 I176:I186 I55:I69 I95:I107 I73:I89 I162:I172 I204:I213 I32:I40 I190:I200 I132:I141 I43:I51 I19:I30" xr:uid="{6C1690BC-76FC-42EB-9187-4B79F3810DBD}">
      <formula1>"s,n,p,S,N,P"</formula1>
    </dataValidation>
    <dataValidation type="list" allowBlank="1" showDropDown="1" showInputMessage="1" showErrorMessage="1" error="Opção inválida!" sqref="P52 T52" xr:uid="{3B1B5C71-CD51-4DAB-84F4-E21482E4E249}">
      <formula1>"0,1"</formula1>
    </dataValidation>
    <dataValidation type="list" allowBlank="1" showDropDown="1" showInputMessage="1" showErrorMessage="1" error="opção inválida!" sqref="F11:F15 F204:F213 F55:F69 F73:F89 F95:F107 F111:F128 F132:F141 F145:F156 F162:F172 F176:F186 F190:F200 F43:F51 F32:F40 F19:F30" xr:uid="{235D008E-A0CF-4682-B92F-371D43A2B5B8}">
      <formula1>"s,n,S,N,p,P,na,NA,Na"</formula1>
    </dataValidation>
    <dataValidation type="list" allowBlank="1" showDropDown="1" showInputMessage="1" showErrorMessage="1" error="Opção inválida!" prompt="Aplica I.A.?   _x000a_1:SIm   _x000a_0 :Não" sqref="P162 P145 P11 P176 P132 P19 P55 P73 P95 P111 P190 P204" xr:uid="{5B0EE104-AAE3-452F-84B0-A7010BED1789}">
      <formula1>"0,1"</formula1>
    </dataValidation>
    <dataValidation type="list" allowBlank="1" showDropDown="1" showInputMessage="1" showErrorMessage="1" error="Opção inválida!" prompt="Há inovação?_x000a_1:Sim_x000a_0:Não" sqref="T162 T145 T11 T176 T132 T19 T55 T73 T95 T111 T190 T204" xr:uid="{8C20481B-AAA7-4E83-8339-6956905E2193}">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AF5CE5AD-C183-4951-BD80-AC22A49F33C6}">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EE77DEF8-C8BB-4CDD-A822-EBF242BBB818}">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AD4ADB6F-98F7-4D75-9EAF-26F15164C5F0}">
            <x14:dataBar minLength="0" maxLength="100" gradient="0">
              <x14:cfvo type="num">
                <xm:f>0.1</xm:f>
              </x14:cfvo>
              <x14:cfvo type="num">
                <xm:f>1</xm:f>
              </x14:cfvo>
              <x14:negativeFillColor rgb="FFFF0000"/>
              <x14:axisColor rgb="FF000000"/>
            </x14:dataBar>
          </x14:cfRule>
          <xm:sqref>E92</xm:sqref>
        </x14:conditionalFormatting>
        <x14:conditionalFormatting xmlns:xm="http://schemas.microsoft.com/office/excel/2006/main">
          <x14:cfRule type="dataBar" id="{503C4830-CCA6-421C-81F3-E211C340A274}">
            <x14:dataBar minLength="0" maxLength="100" gradient="0">
              <x14:cfvo type="num">
                <xm:f>0.1</xm:f>
              </x14:cfvo>
              <x14:cfvo type="num">
                <xm:f>1</xm:f>
              </x14:cfvo>
              <x14:negativeFillColor rgb="FFFF0000"/>
              <x14:axisColor rgb="FF000000"/>
            </x14:dataBar>
          </x14:cfRule>
          <xm:sqref>E159</xm:sqref>
        </x14:conditionalFormatting>
        <x14:conditionalFormatting xmlns:xm="http://schemas.microsoft.com/office/excel/2006/main">
          <x14:cfRule type="expression" priority="128" id="{2992F010-BD7A-4518-B888-BB1897B30FE3}">
            <xm:f>AND(B11=1,$J11&gt;Capa!$H$23)</xm:f>
            <x14:dxf>
              <fill>
                <patternFill>
                  <bgColor rgb="FFFFCCCC"/>
                </patternFill>
              </fill>
            </x14:dxf>
          </x14:cfRule>
          <xm:sqref>K11:K15</xm:sqref>
        </x14:conditionalFormatting>
        <x14:conditionalFormatting xmlns:xm="http://schemas.microsoft.com/office/excel/2006/main">
          <x14:cfRule type="expression" priority="8" id="{56420370-89A4-4C5F-9CCA-C49799690076}">
            <xm:f>AND(B19=1,$J19&gt;Capa!$H$23)</xm:f>
            <x14:dxf>
              <fill>
                <patternFill>
                  <bgColor rgb="FFFFCCCC"/>
                </patternFill>
              </fill>
            </x14:dxf>
          </x14:cfRule>
          <xm:sqref>K19:K30</xm:sqref>
        </x14:conditionalFormatting>
        <x14:conditionalFormatting xmlns:xm="http://schemas.microsoft.com/office/excel/2006/main">
          <x14:cfRule type="expression" priority="104" id="{6CBA7355-DF0A-42B9-96E7-00E09494BA7F}">
            <xm:f>AND(B32=1,$J32&gt;Capa!$H$23)</xm:f>
            <x14:dxf>
              <fill>
                <patternFill>
                  <bgColor rgb="FFFFCCCC"/>
                </patternFill>
              </fill>
            </x14:dxf>
          </x14:cfRule>
          <xm:sqref>K32:K40</xm:sqref>
        </x14:conditionalFormatting>
        <x14:conditionalFormatting xmlns:xm="http://schemas.microsoft.com/office/excel/2006/main">
          <x14:cfRule type="expression" priority="96" id="{38C412B3-3753-4339-A3BE-AC6820B30EFB}">
            <xm:f>AND(B43=1,$J43&gt;Capa!$H$23)</xm:f>
            <x14:dxf>
              <fill>
                <patternFill>
                  <bgColor rgb="FFFFCCCC"/>
                </patternFill>
              </fill>
            </x14:dxf>
          </x14:cfRule>
          <xm:sqref>K43:K51</xm:sqref>
        </x14:conditionalFormatting>
        <x14:conditionalFormatting xmlns:xm="http://schemas.microsoft.com/office/excel/2006/main">
          <x14:cfRule type="expression" priority="88" id="{F4453AD5-60E0-4111-B314-40E4D8FABF4B}">
            <xm:f>AND(B55=1,$J55&gt;Capa!$H$23)</xm:f>
            <x14:dxf>
              <fill>
                <patternFill>
                  <bgColor rgb="FFFFCCCC"/>
                </patternFill>
              </fill>
            </x14:dxf>
          </x14:cfRule>
          <xm:sqref>K55:K69</xm:sqref>
        </x14:conditionalFormatting>
        <x14:conditionalFormatting xmlns:xm="http://schemas.microsoft.com/office/excel/2006/main">
          <x14:cfRule type="expression" priority="80" id="{3CDCA8EE-F311-4AA3-A214-EC5FA0BB2E72}">
            <xm:f>AND(B73=1,$J73&gt;Capa!$H$23)</xm:f>
            <x14:dxf>
              <fill>
                <patternFill>
                  <bgColor rgb="FFFFCCCC"/>
                </patternFill>
              </fill>
            </x14:dxf>
          </x14:cfRule>
          <xm:sqref>K73:K89</xm:sqref>
        </x14:conditionalFormatting>
        <x14:conditionalFormatting xmlns:xm="http://schemas.microsoft.com/office/excel/2006/main">
          <x14:cfRule type="expression" priority="72" id="{516D36F9-BCA4-488C-B774-8687DA816950}">
            <xm:f>AND(B95=1,$J95&gt;Capa!$H$23)</xm:f>
            <x14:dxf>
              <fill>
                <patternFill>
                  <bgColor rgb="FFFFCCCC"/>
                </patternFill>
              </fill>
            </x14:dxf>
          </x14:cfRule>
          <xm:sqref>K95:K107</xm:sqref>
        </x14:conditionalFormatting>
        <x14:conditionalFormatting xmlns:xm="http://schemas.microsoft.com/office/excel/2006/main">
          <x14:cfRule type="expression" priority="64" id="{3DA15201-6538-4981-9589-961B408D8733}">
            <xm:f>AND(B111=1,$J111&gt;Capa!$H$23)</xm:f>
            <x14:dxf>
              <fill>
                <patternFill>
                  <bgColor rgb="FFFFCCCC"/>
                </patternFill>
              </fill>
            </x14:dxf>
          </x14:cfRule>
          <xm:sqref>K111:K128</xm:sqref>
        </x14:conditionalFormatting>
        <x14:conditionalFormatting xmlns:xm="http://schemas.microsoft.com/office/excel/2006/main">
          <x14:cfRule type="expression" priority="56" id="{667FA308-25A2-4AC8-A5AC-A75F5E302281}">
            <xm:f>AND(B132=1,$J132&gt;Capa!$H$23)</xm:f>
            <x14:dxf>
              <fill>
                <patternFill>
                  <bgColor rgb="FFFFCCCC"/>
                </patternFill>
              </fill>
            </x14:dxf>
          </x14:cfRule>
          <xm:sqref>K132:K141</xm:sqref>
        </x14:conditionalFormatting>
        <x14:conditionalFormatting xmlns:xm="http://schemas.microsoft.com/office/excel/2006/main">
          <x14:cfRule type="expression" priority="48" id="{37662068-5E90-430F-90DF-72FACD975F91}">
            <xm:f>AND(B145=1,$J145&gt;Capa!$H$23)</xm:f>
            <x14:dxf>
              <fill>
                <patternFill>
                  <bgColor rgb="FFFFCCCC"/>
                </patternFill>
              </fill>
            </x14:dxf>
          </x14:cfRule>
          <xm:sqref>K145:K156</xm:sqref>
        </x14:conditionalFormatting>
        <x14:conditionalFormatting xmlns:xm="http://schemas.microsoft.com/office/excel/2006/main">
          <x14:cfRule type="expression" priority="40" id="{E3D65567-4824-46E3-8E9D-6AFFBBC01E3C}">
            <xm:f>AND(B162=1,$J162&gt;Capa!$H$23)</xm:f>
            <x14:dxf>
              <fill>
                <patternFill>
                  <bgColor rgb="FFFFCCCC"/>
                </patternFill>
              </fill>
            </x14:dxf>
          </x14:cfRule>
          <xm:sqref>K162:K172</xm:sqref>
        </x14:conditionalFormatting>
        <x14:conditionalFormatting xmlns:xm="http://schemas.microsoft.com/office/excel/2006/main">
          <x14:cfRule type="expression" priority="32" id="{7C839163-C65F-4A08-8B9D-6A0145A74F73}">
            <xm:f>AND(B176=1,$J176&gt;Capa!$H$23)</xm:f>
            <x14:dxf>
              <fill>
                <patternFill>
                  <bgColor rgb="FFFFCCCC"/>
                </patternFill>
              </fill>
            </x14:dxf>
          </x14:cfRule>
          <xm:sqref>K176:K186</xm:sqref>
        </x14:conditionalFormatting>
        <x14:conditionalFormatting xmlns:xm="http://schemas.microsoft.com/office/excel/2006/main">
          <x14:cfRule type="expression" priority="24" id="{BF96A2AB-9D07-46F5-9E41-186289C46895}">
            <xm:f>AND(B190=1,$J190&gt;Capa!$H$23)</xm:f>
            <x14:dxf>
              <fill>
                <patternFill>
                  <bgColor rgb="FFFFCCCC"/>
                </patternFill>
              </fill>
            </x14:dxf>
          </x14:cfRule>
          <xm:sqref>K190:K200</xm:sqref>
        </x14:conditionalFormatting>
        <x14:conditionalFormatting xmlns:xm="http://schemas.microsoft.com/office/excel/2006/main">
          <x14:cfRule type="expression" priority="16" id="{E005B02B-E785-4E8F-93E4-663525E98110}">
            <xm:f>AND(B204=1,$J204&gt;Capa!$H$23)</xm:f>
            <x14:dxf>
              <fill>
                <patternFill>
                  <bgColor rgb="FFFFCCCC"/>
                </patternFill>
              </fill>
            </x14:dxf>
          </x14:cfRule>
          <xm:sqref>K204:K213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ED803-FD36-4133-AD59-8B4F72952DEA}">
  <sheetPr codeName="Planilha9"/>
  <dimension ref="A1:FS111"/>
  <sheetViews>
    <sheetView zoomScale="115" zoomScaleNormal="115" workbookViewId="0">
      <pane xSplit="4" ySplit="8" topLeftCell="E9" activePane="bottomRight" state="frozen"/>
      <selection pane="topRight" activeCell="E1" sqref="E1"/>
      <selection pane="bottomLeft" activeCell="A9" sqref="A9"/>
      <selection pane="bottomRight" activeCell="B9" sqref="B9"/>
    </sheetView>
  </sheetViews>
  <sheetFormatPr defaultColWidth="8.85546875" defaultRowHeight="15" x14ac:dyDescent="0.25"/>
  <cols>
    <col min="1" max="1" width="1.85546875" style="215" customWidth="1"/>
    <col min="2" max="2" width="8.140625" style="159" customWidth="1"/>
    <col min="3" max="3" width="8.85546875" style="159" customWidth="1"/>
    <col min="4" max="4" width="30.140625" style="215" customWidth="1"/>
    <col min="5" max="5" width="4.140625" style="215" customWidth="1"/>
    <col min="6" max="6" width="1.5703125" style="215" customWidth="1"/>
    <col min="7" max="7" width="7.42578125" style="215" customWidth="1"/>
    <col min="8" max="8" width="4.42578125" style="215" customWidth="1"/>
    <col min="9" max="9" width="1.85546875" style="215" customWidth="1"/>
    <col min="10" max="10" width="5.85546875" style="215" customWidth="1"/>
    <col min="11" max="11" width="3.85546875" style="215" customWidth="1"/>
    <col min="12" max="12" width="14.5703125" style="215" customWidth="1"/>
    <col min="13" max="13" width="4.42578125" style="215" customWidth="1"/>
    <col min="14" max="14" width="5.140625" style="215" customWidth="1"/>
    <col min="15" max="15" width="1.85546875" style="215" customWidth="1"/>
    <col min="16" max="16" width="7" style="215" customWidth="1"/>
    <col min="17" max="17" width="3.85546875" style="215" customWidth="1"/>
    <col min="18" max="18" width="13.5703125" style="215" customWidth="1"/>
    <col min="19" max="19" width="6.85546875" style="215" customWidth="1"/>
    <col min="20" max="20" width="13.5703125" style="215" customWidth="1"/>
    <col min="21" max="21" width="1.85546875" style="215" customWidth="1"/>
    <col min="22" max="22" width="4.140625" style="215" customWidth="1"/>
    <col min="23" max="23" width="12.85546875" style="215" customWidth="1"/>
    <col min="24" max="24" width="1.85546875" style="215" customWidth="1"/>
    <col min="25" max="25" width="5.1406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19.350000000000001" customHeight="1" x14ac:dyDescent="0.25">
      <c r="A2" s="244"/>
      <c r="B2" s="197" t="s">
        <v>807</v>
      </c>
      <c r="C2" s="197"/>
      <c r="D2" s="198"/>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3.35" customHeight="1" x14ac:dyDescent="0.25">
      <c r="A3" s="244"/>
      <c r="B3" s="244"/>
      <c r="C3" s="244"/>
      <c r="D3" s="244"/>
      <c r="E3" s="310"/>
      <c r="F3" s="244"/>
      <c r="G3" s="735" t="s">
        <v>23</v>
      </c>
      <c r="H3" s="735"/>
      <c r="I3" s="735"/>
      <c r="J3" s="735"/>
      <c r="K3" s="735"/>
      <c r="L3" s="735"/>
      <c r="M3" s="735"/>
      <c r="N3" s="735"/>
      <c r="O3" s="735"/>
      <c r="P3" s="735"/>
      <c r="Q3" s="735"/>
      <c r="R3" s="735"/>
      <c r="S3" s="735"/>
      <c r="T3" s="735"/>
      <c r="U3" s="735"/>
      <c r="V3" s="735"/>
      <c r="W3" s="735"/>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36">
        <f>IF(COUNTIF($D8:$D45,"*")&gt;0,(COUNTIFS($D8:$D45,"*",$F8:$F45,"1",V8:V45,"&gt;=0")+COUNTIFS($D8:$D45,"*",$F8:$F45,"&lt;&gt;1",E8:E45,"*"))/COUNTIF($D8:$D45,"*"),0)</f>
        <v>0</v>
      </c>
      <c r="C4" s="736"/>
      <c r="D4" s="736"/>
      <c r="E4" s="310"/>
      <c r="F4" s="244"/>
      <c r="G4" s="737" t="s">
        <v>808</v>
      </c>
      <c r="H4" s="738"/>
      <c r="I4" s="171" t="str">
        <f>IF(ISNUMBER(AVERAGE(I9:I45)),AVERAGE(I9:I45),"Sem")</f>
        <v>Sem</v>
      </c>
      <c r="J4" s="739" t="s">
        <v>809</v>
      </c>
      <c r="K4" s="739"/>
      <c r="L4" s="739"/>
      <c r="M4" s="739"/>
      <c r="N4" s="739"/>
      <c r="O4" s="171" t="str">
        <f>IF(ISNUMBER(AVERAGE(O9:O45)),AVERAGE(O9:O45),"Sem")</f>
        <v>Sem</v>
      </c>
      <c r="P4" s="739" t="s">
        <v>810</v>
      </c>
      <c r="Q4" s="739"/>
      <c r="R4" s="739"/>
      <c r="S4" s="739"/>
      <c r="T4" s="739"/>
      <c r="U4" s="171" t="str">
        <f>IF(ISNUMBER(AVERAGE(U9:U45)),AVERAGE(U9:U45),"Sem")</f>
        <v>Sem</v>
      </c>
      <c r="V4" s="740" t="s">
        <v>811</v>
      </c>
      <c r="W4" s="741"/>
      <c r="X4" s="171" t="str">
        <f>IF(ISNUMBER(AVERAGE(X9:X45)),AVERAGE(X9:X45),"Sem")</f>
        <v>Sem</v>
      </c>
      <c r="Y4" s="142"/>
      <c r="Z4" s="142"/>
      <c r="AA4" s="745" t="s">
        <v>812</v>
      </c>
      <c r="AB4" s="746"/>
      <c r="AC4" s="746"/>
      <c r="AD4" s="746"/>
      <c r="AE4" s="746"/>
      <c r="AF4" s="746"/>
      <c r="AG4" s="747"/>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7.7"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1.35"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15.75" x14ac:dyDescent="0.25">
      <c r="A9" s="311">
        <v>8</v>
      </c>
      <c r="B9" s="670"/>
      <c r="C9" s="671"/>
      <c r="D9" s="672"/>
      <c r="E9" s="689"/>
      <c r="F9" s="164" t="str">
        <f>IF(OR(ISNUMBER(SEARCH("N",$E9)),ISNUMBER(SEARCH("E",$E9))),1,"")</f>
        <v/>
      </c>
      <c r="G9" s="687"/>
      <c r="H9" s="688"/>
      <c r="I9" s="171" t="str">
        <f>IF(G9="S",IF(H9=3,1,IF(H9=2,0.6,IF(H9=1,0.3,0))),"")</f>
        <v/>
      </c>
      <c r="J9" s="51"/>
      <c r="K9" s="51"/>
      <c r="L9" s="673"/>
      <c r="M9" s="51"/>
      <c r="N9" s="51"/>
      <c r="O9" s="171" t="str">
        <f>IF(AND($F9=1,J9="S"),IF(K9=3,1,IF(K9=2,0.6,IF(K9=1,0.3,0))),"")</f>
        <v/>
      </c>
      <c r="P9" s="51"/>
      <c r="Q9" s="51"/>
      <c r="R9" s="51"/>
      <c r="S9" s="51"/>
      <c r="T9" s="51"/>
      <c r="U9" s="171" t="str">
        <f>IF(AND($F9=1,P9="S"),IF(Q9=3,1,IF(Q9=2,0.6,IF(Q9=1,0.3,0))),"")</f>
        <v/>
      </c>
      <c r="V9" s="335"/>
      <c r="W9" s="335"/>
      <c r="X9" s="171" t="str">
        <f>IF($F9=1,IF(V9=3,1,IF(V9=2,0.6,IF(V9=1,0.3,0))),"")</f>
        <v/>
      </c>
      <c r="Y9" s="336" t="str">
        <f t="shared" ref="Y9:Y35" si="0">IF(NOT(ISBLANK(D9)),IF(OR(ISNUMBER(I9),ISNUMBER(O9),ISNUMBER(U9),ISNUMBER(X9)),AVERAGE(I9,O9,U9,X9),0),"")</f>
        <v/>
      </c>
      <c r="Z9" s="329"/>
      <c r="AA9" s="337"/>
      <c r="AB9" s="297"/>
      <c r="AC9" s="337"/>
      <c r="AD9" s="337"/>
      <c r="AE9" s="337"/>
      <c r="AF9" s="337"/>
      <c r="AG9" s="338"/>
      <c r="AH9" s="243"/>
    </row>
    <row r="10" spans="1:175" ht="15.75" x14ac:dyDescent="0.25">
      <c r="A10" s="311">
        <v>8</v>
      </c>
      <c r="B10" s="670"/>
      <c r="C10" s="671"/>
      <c r="D10" s="672"/>
      <c r="E10" s="689"/>
      <c r="F10" s="164" t="str">
        <f t="shared" ref="F10:F44" si="1">IF(OR(ISNUMBER(SEARCH("N",$E10)),ISNUMBER(SEARCH("E",$E10))),1,"")</f>
        <v/>
      </c>
      <c r="G10" s="687"/>
      <c r="H10" s="688"/>
      <c r="I10" s="171" t="str">
        <f t="shared" ref="I10:I45" si="2">IF(G10="S",IF(H10=3,1,IF(H10=2,0.6,IF(H10=1,0.3,0))),"")</f>
        <v/>
      </c>
      <c r="J10" s="51"/>
      <c r="K10" s="51"/>
      <c r="L10" s="673"/>
      <c r="M10" s="51"/>
      <c r="N10" s="51"/>
      <c r="O10" s="171" t="str">
        <f t="shared" ref="O10:O44" si="3">IF(AND($F10=1,J10="S"),IF(K10=3,1,IF(K10=2,0.6,IF(K10=1,0.3,0))),"")</f>
        <v/>
      </c>
      <c r="P10" s="51"/>
      <c r="Q10" s="51"/>
      <c r="R10" s="51"/>
      <c r="S10" s="51"/>
      <c r="T10" s="51"/>
      <c r="U10" s="171" t="str">
        <f t="shared" ref="U10:U45" si="4">IF(AND($F10=1,P10="S"),IF(Q10=3,1,IF(Q10=2,0.6,IF(Q10=1,0.3,0))),"")</f>
        <v/>
      </c>
      <c r="V10" s="335"/>
      <c r="W10" s="335"/>
      <c r="X10" s="171" t="str">
        <f t="shared" ref="X10:X45" si="5">IF($F10=1,IF(V10=3,1,IF(V10=2,0.6,IF(V10=1,0.3,0))),"")</f>
        <v/>
      </c>
      <c r="Y10" s="336" t="str">
        <f t="shared" si="0"/>
        <v/>
      </c>
      <c r="Z10" s="329"/>
      <c r="AA10" s="337"/>
      <c r="AB10" s="297"/>
      <c r="AC10" s="337"/>
      <c r="AD10" s="337"/>
      <c r="AE10" s="337"/>
      <c r="AF10" s="337"/>
      <c r="AG10" s="338"/>
      <c r="AH10" s="243"/>
    </row>
    <row r="11" spans="1:175" ht="15.75" x14ac:dyDescent="0.25">
      <c r="A11" s="311">
        <v>8</v>
      </c>
      <c r="B11" s="670"/>
      <c r="C11" s="671"/>
      <c r="D11" s="672"/>
      <c r="E11" s="689"/>
      <c r="F11" s="164" t="str">
        <f t="shared" si="1"/>
        <v/>
      </c>
      <c r="G11" s="687"/>
      <c r="H11" s="688"/>
      <c r="I11" s="171" t="str">
        <f t="shared" si="2"/>
        <v/>
      </c>
      <c r="J11" s="51"/>
      <c r="K11" s="51"/>
      <c r="L11" s="51"/>
      <c r="M11" s="51"/>
      <c r="N11" s="51"/>
      <c r="O11" s="171" t="str">
        <f t="shared" si="3"/>
        <v/>
      </c>
      <c r="P11" s="51"/>
      <c r="Q11" s="51"/>
      <c r="R11" s="51"/>
      <c r="S11" s="51"/>
      <c r="T11" s="51"/>
      <c r="U11" s="171" t="str">
        <f t="shared" si="4"/>
        <v/>
      </c>
      <c r="V11" s="335"/>
      <c r="W11" s="335"/>
      <c r="X11" s="171" t="str">
        <f t="shared" si="5"/>
        <v/>
      </c>
      <c r="Y11" s="336" t="str">
        <f t="shared" si="0"/>
        <v/>
      </c>
      <c r="Z11" s="329"/>
      <c r="AA11" s="337"/>
      <c r="AB11" s="337"/>
      <c r="AC11" s="337"/>
      <c r="AD11" s="337"/>
      <c r="AE11" s="337"/>
      <c r="AF11" s="337"/>
      <c r="AG11" s="338"/>
      <c r="AH11" s="243"/>
    </row>
    <row r="12" spans="1:175" ht="15.75" x14ac:dyDescent="0.25">
      <c r="A12" s="311">
        <v>8</v>
      </c>
      <c r="B12" s="670"/>
      <c r="C12" s="671"/>
      <c r="D12" s="672"/>
      <c r="E12" s="689"/>
      <c r="F12" s="164" t="str">
        <f t="shared" si="1"/>
        <v/>
      </c>
      <c r="G12" s="687"/>
      <c r="H12" s="688"/>
      <c r="I12" s="171" t="str">
        <f t="shared" si="2"/>
        <v/>
      </c>
      <c r="J12" s="51"/>
      <c r="K12" s="51"/>
      <c r="L12" s="51"/>
      <c r="M12" s="51"/>
      <c r="N12" s="51"/>
      <c r="O12" s="171" t="str">
        <f t="shared" si="3"/>
        <v/>
      </c>
      <c r="P12" s="51"/>
      <c r="Q12" s="51"/>
      <c r="R12" s="51"/>
      <c r="S12" s="51"/>
      <c r="T12" s="51"/>
      <c r="U12" s="171" t="str">
        <f t="shared" si="4"/>
        <v/>
      </c>
      <c r="V12" s="335"/>
      <c r="W12" s="335"/>
      <c r="X12" s="171" t="str">
        <f t="shared" si="5"/>
        <v/>
      </c>
      <c r="Y12" s="336" t="str">
        <f t="shared" si="0"/>
        <v/>
      </c>
      <c r="Z12" s="329"/>
      <c r="AA12" s="337"/>
      <c r="AB12" s="337"/>
      <c r="AC12" s="337"/>
      <c r="AD12" s="337"/>
      <c r="AE12" s="337"/>
      <c r="AF12" s="337"/>
      <c r="AG12" s="338"/>
      <c r="AH12" s="243"/>
    </row>
    <row r="13" spans="1:175" ht="15.75" x14ac:dyDescent="0.25">
      <c r="A13" s="311">
        <v>8</v>
      </c>
      <c r="B13" s="670"/>
      <c r="C13" s="671"/>
      <c r="D13" s="672"/>
      <c r="E13" s="689"/>
      <c r="F13" s="164" t="str">
        <f t="shared" si="1"/>
        <v/>
      </c>
      <c r="G13" s="687"/>
      <c r="H13" s="688"/>
      <c r="I13" s="171" t="str">
        <f t="shared" si="2"/>
        <v/>
      </c>
      <c r="J13" s="51"/>
      <c r="K13" s="51"/>
      <c r="L13" s="51"/>
      <c r="M13" s="51"/>
      <c r="N13" s="51"/>
      <c r="O13" s="171" t="str">
        <f t="shared" si="3"/>
        <v/>
      </c>
      <c r="P13" s="51"/>
      <c r="Q13" s="51"/>
      <c r="R13" s="51"/>
      <c r="S13" s="51"/>
      <c r="T13" s="51"/>
      <c r="U13" s="171" t="str">
        <f t="shared" si="4"/>
        <v/>
      </c>
      <c r="V13" s="335"/>
      <c r="W13" s="335"/>
      <c r="X13" s="171" t="str">
        <f t="shared" si="5"/>
        <v/>
      </c>
      <c r="Y13" s="336" t="str">
        <f t="shared" si="0"/>
        <v/>
      </c>
      <c r="Z13" s="329"/>
      <c r="AA13" s="337"/>
      <c r="AB13" s="337"/>
      <c r="AC13" s="337"/>
      <c r="AD13" s="337"/>
      <c r="AE13" s="337"/>
      <c r="AF13" s="337"/>
      <c r="AG13" s="338"/>
      <c r="AH13" s="243"/>
    </row>
    <row r="14" spans="1:175" ht="15.75" x14ac:dyDescent="0.25">
      <c r="A14" s="311">
        <v>8</v>
      </c>
      <c r="B14" s="670"/>
      <c r="C14" s="671"/>
      <c r="D14" s="672"/>
      <c r="E14" s="689"/>
      <c r="F14" s="164" t="str">
        <f t="shared" si="1"/>
        <v/>
      </c>
      <c r="G14" s="687"/>
      <c r="H14" s="688"/>
      <c r="I14" s="171" t="str">
        <f t="shared" si="2"/>
        <v/>
      </c>
      <c r="J14" s="51"/>
      <c r="K14" s="51"/>
      <c r="L14" s="51"/>
      <c r="M14" s="51"/>
      <c r="N14" s="51"/>
      <c r="O14" s="171" t="str">
        <f t="shared" si="3"/>
        <v/>
      </c>
      <c r="P14" s="51"/>
      <c r="Q14" s="51"/>
      <c r="R14" s="51"/>
      <c r="S14" s="51"/>
      <c r="T14" s="51"/>
      <c r="U14" s="171" t="str">
        <f t="shared" si="4"/>
        <v/>
      </c>
      <c r="V14" s="335"/>
      <c r="W14" s="335"/>
      <c r="X14" s="171" t="str">
        <f t="shared" si="5"/>
        <v/>
      </c>
      <c r="Y14" s="336" t="str">
        <f t="shared" si="0"/>
        <v/>
      </c>
      <c r="Z14" s="329"/>
      <c r="AA14" s="337"/>
      <c r="AB14" s="337"/>
      <c r="AC14" s="337"/>
      <c r="AD14" s="337"/>
      <c r="AE14" s="337"/>
      <c r="AF14" s="337"/>
      <c r="AG14" s="338"/>
      <c r="AH14" s="243"/>
    </row>
    <row r="15" spans="1:175" ht="15.75" x14ac:dyDescent="0.25">
      <c r="A15" s="311">
        <v>8</v>
      </c>
      <c r="B15" s="670"/>
      <c r="C15" s="671"/>
      <c r="D15" s="672"/>
      <c r="E15" s="689"/>
      <c r="F15" s="164" t="str">
        <f t="shared" si="1"/>
        <v/>
      </c>
      <c r="G15" s="687"/>
      <c r="H15" s="688"/>
      <c r="I15" s="171" t="str">
        <f t="shared" si="2"/>
        <v/>
      </c>
      <c r="J15" s="51"/>
      <c r="K15" s="51"/>
      <c r="L15" s="51"/>
      <c r="M15" s="51"/>
      <c r="N15" s="51"/>
      <c r="O15" s="171" t="str">
        <f t="shared" si="3"/>
        <v/>
      </c>
      <c r="P15" s="51"/>
      <c r="Q15" s="51"/>
      <c r="R15" s="51"/>
      <c r="S15" s="51"/>
      <c r="T15" s="51"/>
      <c r="U15" s="171" t="str">
        <f t="shared" si="4"/>
        <v/>
      </c>
      <c r="V15" s="335"/>
      <c r="W15" s="335"/>
      <c r="X15" s="171" t="str">
        <f t="shared" si="5"/>
        <v/>
      </c>
      <c r="Y15" s="336" t="str">
        <f t="shared" si="0"/>
        <v/>
      </c>
      <c r="Z15" s="329"/>
      <c r="AA15" s="337"/>
      <c r="AB15" s="337"/>
      <c r="AC15" s="337"/>
      <c r="AD15" s="337"/>
      <c r="AE15" s="337"/>
      <c r="AF15" s="337"/>
      <c r="AG15" s="338"/>
      <c r="AH15" s="243"/>
    </row>
    <row r="16" spans="1:175" ht="15.75" x14ac:dyDescent="0.25">
      <c r="A16" s="311">
        <v>8</v>
      </c>
      <c r="B16" s="670"/>
      <c r="C16" s="671"/>
      <c r="D16" s="672"/>
      <c r="E16" s="689"/>
      <c r="F16" s="164" t="str">
        <f t="shared" si="1"/>
        <v/>
      </c>
      <c r="G16" s="687"/>
      <c r="H16" s="688"/>
      <c r="I16" s="171" t="str">
        <f t="shared" si="2"/>
        <v/>
      </c>
      <c r="J16" s="51"/>
      <c r="K16" s="51"/>
      <c r="L16" s="51"/>
      <c r="M16" s="51"/>
      <c r="N16" s="51"/>
      <c r="O16" s="171" t="str">
        <f t="shared" si="3"/>
        <v/>
      </c>
      <c r="P16" s="51"/>
      <c r="Q16" s="51"/>
      <c r="R16" s="51"/>
      <c r="S16" s="51"/>
      <c r="T16" s="51"/>
      <c r="U16" s="171" t="str">
        <f t="shared" si="4"/>
        <v/>
      </c>
      <c r="V16" s="335"/>
      <c r="W16" s="335"/>
      <c r="X16" s="171" t="str">
        <f t="shared" si="5"/>
        <v/>
      </c>
      <c r="Y16" s="336" t="str">
        <f t="shared" si="0"/>
        <v/>
      </c>
      <c r="Z16" s="329"/>
      <c r="AA16" s="337"/>
      <c r="AB16" s="337"/>
      <c r="AC16" s="337"/>
      <c r="AD16" s="337"/>
      <c r="AE16" s="337"/>
      <c r="AF16" s="337"/>
      <c r="AG16" s="338"/>
      <c r="AH16" s="243"/>
    </row>
    <row r="17" spans="1:34" s="214" customFormat="1" ht="15.75" x14ac:dyDescent="0.25">
      <c r="A17" s="311">
        <v>8</v>
      </c>
      <c r="B17" s="670"/>
      <c r="C17" s="671"/>
      <c r="D17" s="672"/>
      <c r="E17" s="689"/>
      <c r="F17" s="164" t="str">
        <f t="shared" si="1"/>
        <v/>
      </c>
      <c r="G17" s="687"/>
      <c r="H17" s="688"/>
      <c r="I17" s="171" t="str">
        <f t="shared" si="2"/>
        <v/>
      </c>
      <c r="J17" s="51"/>
      <c r="K17" s="51"/>
      <c r="L17" s="51"/>
      <c r="M17" s="51"/>
      <c r="N17" s="51"/>
      <c r="O17" s="171" t="str">
        <f t="shared" si="3"/>
        <v/>
      </c>
      <c r="P17" s="51"/>
      <c r="Q17" s="51"/>
      <c r="R17" s="51"/>
      <c r="S17" s="51"/>
      <c r="T17" s="51"/>
      <c r="U17" s="171" t="str">
        <f t="shared" si="4"/>
        <v/>
      </c>
      <c r="V17" s="335"/>
      <c r="W17" s="335"/>
      <c r="X17" s="171" t="str">
        <f t="shared" si="5"/>
        <v/>
      </c>
      <c r="Y17" s="336" t="str">
        <f t="shared" si="0"/>
        <v/>
      </c>
      <c r="Z17" s="329"/>
      <c r="AA17" s="337"/>
      <c r="AB17" s="337"/>
      <c r="AC17" s="337"/>
      <c r="AD17" s="337"/>
      <c r="AE17" s="337"/>
      <c r="AF17" s="337"/>
      <c r="AG17" s="338"/>
      <c r="AH17" s="243"/>
    </row>
    <row r="18" spans="1:34" ht="15.75" x14ac:dyDescent="0.25">
      <c r="A18" s="311">
        <v>8</v>
      </c>
      <c r="B18" s="670"/>
      <c r="C18" s="671"/>
      <c r="D18" s="672"/>
      <c r="E18" s="689"/>
      <c r="F18" s="164" t="str">
        <f t="shared" si="1"/>
        <v/>
      </c>
      <c r="G18" s="687"/>
      <c r="H18" s="688"/>
      <c r="I18" s="171" t="str">
        <f t="shared" ref="I18:I25" si="6">IF(G18="S",IF(H18=3,1,IF(H18=2,0.6,IF(H18=1,0.3,0))),"")</f>
        <v/>
      </c>
      <c r="J18" s="51"/>
      <c r="K18" s="51"/>
      <c r="L18" s="673"/>
      <c r="M18" s="51"/>
      <c r="N18" s="51"/>
      <c r="O18" s="171" t="str">
        <f t="shared" si="3"/>
        <v/>
      </c>
      <c r="P18" s="51"/>
      <c r="Q18" s="51"/>
      <c r="R18" s="51"/>
      <c r="S18" s="51"/>
      <c r="T18" s="51"/>
      <c r="U18" s="171" t="str">
        <f t="shared" ref="U18:U25" si="7">IF(AND($F18=1,P18="S"),IF(Q18=3,1,IF(Q18=2,0.6,IF(Q18=1,0.3,0))),"")</f>
        <v/>
      </c>
      <c r="V18" s="335"/>
      <c r="W18" s="335"/>
      <c r="X18" s="171" t="str">
        <f t="shared" ref="X18:X25" si="8">IF($F18=1,IF(V18=3,1,IF(V18=2,0.6,IF(V18=1,0.3,0))),"")</f>
        <v/>
      </c>
      <c r="Y18" s="336" t="str">
        <f t="shared" ref="Y18:Y25" si="9">IF(NOT(ISBLANK(D18)),IF(OR(ISNUMBER(I18),ISNUMBER(O18),ISNUMBER(U18),ISNUMBER(X18)),AVERAGE(I18,O18,U18,X18),0),"")</f>
        <v/>
      </c>
      <c r="Z18" s="329"/>
      <c r="AA18" s="337"/>
      <c r="AB18" s="297"/>
      <c r="AC18" s="337"/>
      <c r="AD18" s="337"/>
      <c r="AE18" s="337"/>
      <c r="AF18" s="337"/>
      <c r="AG18" s="338"/>
      <c r="AH18" s="243"/>
    </row>
    <row r="19" spans="1:34" ht="15.75" x14ac:dyDescent="0.25">
      <c r="A19" s="311">
        <v>8</v>
      </c>
      <c r="B19" s="670"/>
      <c r="C19" s="671"/>
      <c r="D19" s="672"/>
      <c r="E19" s="689"/>
      <c r="F19" s="164" t="str">
        <f t="shared" si="1"/>
        <v/>
      </c>
      <c r="G19" s="687"/>
      <c r="H19" s="688"/>
      <c r="I19" s="171" t="str">
        <f t="shared" si="6"/>
        <v/>
      </c>
      <c r="J19" s="51"/>
      <c r="K19" s="51"/>
      <c r="L19" s="51"/>
      <c r="M19" s="51"/>
      <c r="N19" s="51"/>
      <c r="O19" s="171" t="str">
        <f t="shared" si="3"/>
        <v/>
      </c>
      <c r="P19" s="51"/>
      <c r="Q19" s="51"/>
      <c r="R19" s="51"/>
      <c r="S19" s="51"/>
      <c r="T19" s="51"/>
      <c r="U19" s="171" t="str">
        <f t="shared" si="7"/>
        <v/>
      </c>
      <c r="V19" s="335"/>
      <c r="W19" s="335"/>
      <c r="X19" s="171" t="str">
        <f t="shared" si="8"/>
        <v/>
      </c>
      <c r="Y19" s="336" t="str">
        <f t="shared" si="9"/>
        <v/>
      </c>
      <c r="Z19" s="329"/>
      <c r="AA19" s="337"/>
      <c r="AB19" s="337"/>
      <c r="AC19" s="337"/>
      <c r="AD19" s="337"/>
      <c r="AE19" s="337"/>
      <c r="AF19" s="337"/>
      <c r="AG19" s="338"/>
      <c r="AH19" s="243"/>
    </row>
    <row r="20" spans="1:34" ht="15.75" x14ac:dyDescent="0.25">
      <c r="A20" s="311">
        <v>8</v>
      </c>
      <c r="B20" s="670"/>
      <c r="C20" s="671"/>
      <c r="D20" s="672"/>
      <c r="E20" s="689"/>
      <c r="F20" s="164" t="str">
        <f t="shared" si="1"/>
        <v/>
      </c>
      <c r="G20" s="687"/>
      <c r="H20" s="688"/>
      <c r="I20" s="171" t="str">
        <f t="shared" si="6"/>
        <v/>
      </c>
      <c r="J20" s="51"/>
      <c r="K20" s="51"/>
      <c r="L20" s="51"/>
      <c r="M20" s="51"/>
      <c r="N20" s="51"/>
      <c r="O20" s="171" t="str">
        <f t="shared" si="3"/>
        <v/>
      </c>
      <c r="P20" s="51"/>
      <c r="Q20" s="51"/>
      <c r="R20" s="51"/>
      <c r="S20" s="51"/>
      <c r="T20" s="51"/>
      <c r="U20" s="171" t="str">
        <f t="shared" si="7"/>
        <v/>
      </c>
      <c r="V20" s="335"/>
      <c r="W20" s="335"/>
      <c r="X20" s="171" t="str">
        <f t="shared" si="8"/>
        <v/>
      </c>
      <c r="Y20" s="336" t="str">
        <f t="shared" si="9"/>
        <v/>
      </c>
      <c r="Z20" s="329"/>
      <c r="AA20" s="337"/>
      <c r="AB20" s="337"/>
      <c r="AC20" s="337"/>
      <c r="AD20" s="337"/>
      <c r="AE20" s="337"/>
      <c r="AF20" s="337"/>
      <c r="AG20" s="338"/>
      <c r="AH20" s="243"/>
    </row>
    <row r="21" spans="1:34" ht="15.75" x14ac:dyDescent="0.25">
      <c r="A21" s="311">
        <v>8</v>
      </c>
      <c r="B21" s="670"/>
      <c r="C21" s="671"/>
      <c r="D21" s="672"/>
      <c r="E21" s="689"/>
      <c r="F21" s="164" t="str">
        <f t="shared" si="1"/>
        <v/>
      </c>
      <c r="G21" s="687"/>
      <c r="H21" s="688"/>
      <c r="I21" s="171" t="str">
        <f t="shared" si="6"/>
        <v/>
      </c>
      <c r="J21" s="51"/>
      <c r="K21" s="51"/>
      <c r="L21" s="51"/>
      <c r="M21" s="51"/>
      <c r="N21" s="51"/>
      <c r="O21" s="171" t="str">
        <f t="shared" si="3"/>
        <v/>
      </c>
      <c r="P21" s="51"/>
      <c r="Q21" s="51"/>
      <c r="R21" s="51"/>
      <c r="S21" s="51"/>
      <c r="T21" s="51"/>
      <c r="U21" s="171" t="str">
        <f t="shared" si="7"/>
        <v/>
      </c>
      <c r="V21" s="335"/>
      <c r="W21" s="335"/>
      <c r="X21" s="171" t="str">
        <f t="shared" si="8"/>
        <v/>
      </c>
      <c r="Y21" s="336" t="str">
        <f t="shared" si="9"/>
        <v/>
      </c>
      <c r="Z21" s="329"/>
      <c r="AA21" s="337"/>
      <c r="AB21" s="337"/>
      <c r="AC21" s="337"/>
      <c r="AD21" s="337"/>
      <c r="AE21" s="337"/>
      <c r="AF21" s="337"/>
      <c r="AG21" s="338"/>
      <c r="AH21" s="243"/>
    </row>
    <row r="22" spans="1:34" ht="15.75" x14ac:dyDescent="0.25">
      <c r="A22" s="311">
        <v>8</v>
      </c>
      <c r="B22" s="670"/>
      <c r="C22" s="671"/>
      <c r="D22" s="672"/>
      <c r="E22" s="689"/>
      <c r="F22" s="164" t="str">
        <f t="shared" si="1"/>
        <v/>
      </c>
      <c r="G22" s="687"/>
      <c r="H22" s="688"/>
      <c r="I22" s="171" t="str">
        <f t="shared" si="6"/>
        <v/>
      </c>
      <c r="J22" s="51"/>
      <c r="K22" s="51"/>
      <c r="L22" s="51"/>
      <c r="M22" s="51"/>
      <c r="N22" s="51"/>
      <c r="O22" s="171" t="str">
        <f t="shared" si="3"/>
        <v/>
      </c>
      <c r="P22" s="51"/>
      <c r="Q22" s="51"/>
      <c r="R22" s="51"/>
      <c r="S22" s="51"/>
      <c r="T22" s="51"/>
      <c r="U22" s="171" t="str">
        <f t="shared" si="7"/>
        <v/>
      </c>
      <c r="V22" s="335"/>
      <c r="W22" s="335"/>
      <c r="X22" s="171" t="str">
        <f t="shared" si="8"/>
        <v/>
      </c>
      <c r="Y22" s="336" t="str">
        <f t="shared" si="9"/>
        <v/>
      </c>
      <c r="Z22" s="329"/>
      <c r="AA22" s="337"/>
      <c r="AB22" s="337"/>
      <c r="AC22" s="337"/>
      <c r="AD22" s="337"/>
      <c r="AE22" s="337"/>
      <c r="AF22" s="337"/>
      <c r="AG22" s="338"/>
      <c r="AH22" s="243"/>
    </row>
    <row r="23" spans="1:34" ht="15.75" x14ac:dyDescent="0.25">
      <c r="A23" s="311">
        <v>8</v>
      </c>
      <c r="B23" s="670"/>
      <c r="C23" s="671"/>
      <c r="D23" s="672"/>
      <c r="E23" s="689"/>
      <c r="F23" s="164" t="str">
        <f t="shared" si="1"/>
        <v/>
      </c>
      <c r="G23" s="687"/>
      <c r="H23" s="688"/>
      <c r="I23" s="171" t="str">
        <f t="shared" si="6"/>
        <v/>
      </c>
      <c r="J23" s="51"/>
      <c r="K23" s="51"/>
      <c r="L23" s="51"/>
      <c r="M23" s="51"/>
      <c r="N23" s="51"/>
      <c r="O23" s="171" t="str">
        <f t="shared" si="3"/>
        <v/>
      </c>
      <c r="P23" s="51"/>
      <c r="Q23" s="51"/>
      <c r="R23" s="51"/>
      <c r="S23" s="51"/>
      <c r="T23" s="51"/>
      <c r="U23" s="171" t="str">
        <f t="shared" si="7"/>
        <v/>
      </c>
      <c r="V23" s="335"/>
      <c r="W23" s="335"/>
      <c r="X23" s="171" t="str">
        <f t="shared" si="8"/>
        <v/>
      </c>
      <c r="Y23" s="336" t="str">
        <f t="shared" si="9"/>
        <v/>
      </c>
      <c r="Z23" s="329"/>
      <c r="AA23" s="337"/>
      <c r="AB23" s="337"/>
      <c r="AC23" s="337"/>
      <c r="AD23" s="337"/>
      <c r="AE23" s="337"/>
      <c r="AF23" s="337"/>
      <c r="AG23" s="338"/>
      <c r="AH23" s="243"/>
    </row>
    <row r="24" spans="1:34" ht="15.75" x14ac:dyDescent="0.25">
      <c r="A24" s="311">
        <v>8</v>
      </c>
      <c r="B24" s="670"/>
      <c r="C24" s="671"/>
      <c r="D24" s="672"/>
      <c r="E24" s="689"/>
      <c r="F24" s="164" t="str">
        <f t="shared" si="1"/>
        <v/>
      </c>
      <c r="G24" s="687"/>
      <c r="H24" s="688"/>
      <c r="I24" s="171" t="str">
        <f t="shared" si="6"/>
        <v/>
      </c>
      <c r="J24" s="51"/>
      <c r="K24" s="51"/>
      <c r="L24" s="673"/>
      <c r="M24" s="51"/>
      <c r="N24" s="51"/>
      <c r="O24" s="171" t="str">
        <f t="shared" si="3"/>
        <v/>
      </c>
      <c r="P24" s="51"/>
      <c r="Q24" s="51"/>
      <c r="R24" s="51"/>
      <c r="S24" s="51"/>
      <c r="T24" s="51"/>
      <c r="U24" s="171" t="str">
        <f t="shared" si="7"/>
        <v/>
      </c>
      <c r="V24" s="335"/>
      <c r="W24" s="335"/>
      <c r="X24" s="171" t="str">
        <f t="shared" si="8"/>
        <v/>
      </c>
      <c r="Y24" s="336" t="str">
        <f t="shared" si="9"/>
        <v/>
      </c>
      <c r="Z24" s="329"/>
      <c r="AA24" s="337"/>
      <c r="AB24" s="337"/>
      <c r="AC24" s="337"/>
      <c r="AD24" s="337"/>
      <c r="AE24" s="337"/>
      <c r="AF24" s="337"/>
      <c r="AG24" s="338"/>
      <c r="AH24" s="243"/>
    </row>
    <row r="25" spans="1:34" s="214" customFormat="1" ht="15.75" x14ac:dyDescent="0.25">
      <c r="A25" s="311">
        <v>8</v>
      </c>
      <c r="B25" s="670"/>
      <c r="C25" s="671"/>
      <c r="D25" s="672"/>
      <c r="E25" s="689"/>
      <c r="F25" s="164" t="str">
        <f t="shared" si="1"/>
        <v/>
      </c>
      <c r="G25" s="687"/>
      <c r="H25" s="688"/>
      <c r="I25" s="171" t="str">
        <f t="shared" si="6"/>
        <v/>
      </c>
      <c r="J25" s="51"/>
      <c r="K25" s="51"/>
      <c r="L25" s="51"/>
      <c r="M25" s="51"/>
      <c r="N25" s="51"/>
      <c r="O25" s="171" t="str">
        <f t="shared" si="3"/>
        <v/>
      </c>
      <c r="P25" s="51"/>
      <c r="Q25" s="51"/>
      <c r="R25" s="51"/>
      <c r="S25" s="51"/>
      <c r="T25" s="51"/>
      <c r="U25" s="171" t="str">
        <f t="shared" si="7"/>
        <v/>
      </c>
      <c r="V25" s="335"/>
      <c r="W25" s="335"/>
      <c r="X25" s="171" t="str">
        <f t="shared" si="8"/>
        <v/>
      </c>
      <c r="Y25" s="336" t="str">
        <f t="shared" si="9"/>
        <v/>
      </c>
      <c r="Z25" s="329"/>
      <c r="AA25" s="337"/>
      <c r="AB25" s="337"/>
      <c r="AC25" s="337"/>
      <c r="AD25" s="337"/>
      <c r="AE25" s="337"/>
      <c r="AF25" s="337"/>
      <c r="AG25" s="338"/>
      <c r="AH25" s="243"/>
    </row>
    <row r="26" spans="1:34" s="214" customFormat="1" ht="15.75" x14ac:dyDescent="0.25">
      <c r="A26" s="311">
        <v>8</v>
      </c>
      <c r="B26" s="670"/>
      <c r="C26" s="671"/>
      <c r="D26" s="672"/>
      <c r="E26" s="689"/>
      <c r="F26" s="164" t="str">
        <f t="shared" si="1"/>
        <v/>
      </c>
      <c r="G26" s="687"/>
      <c r="H26" s="688"/>
      <c r="I26" s="171" t="str">
        <f t="shared" si="2"/>
        <v/>
      </c>
      <c r="J26" s="51"/>
      <c r="K26" s="51"/>
      <c r="L26" s="51"/>
      <c r="M26" s="51"/>
      <c r="N26" s="51"/>
      <c r="O26" s="171" t="str">
        <f t="shared" si="3"/>
        <v/>
      </c>
      <c r="P26" s="51"/>
      <c r="Q26" s="51"/>
      <c r="R26" s="51"/>
      <c r="S26" s="51"/>
      <c r="T26" s="51"/>
      <c r="U26" s="171" t="str">
        <f t="shared" si="4"/>
        <v/>
      </c>
      <c r="V26" s="335"/>
      <c r="W26" s="335"/>
      <c r="X26" s="171" t="str">
        <f t="shared" si="5"/>
        <v/>
      </c>
      <c r="Y26" s="336" t="str">
        <f t="shared" si="0"/>
        <v/>
      </c>
      <c r="Z26" s="329"/>
      <c r="AA26" s="337"/>
      <c r="AB26" s="337"/>
      <c r="AC26" s="337"/>
      <c r="AD26" s="337"/>
      <c r="AE26" s="337"/>
      <c r="AF26" s="337"/>
      <c r="AG26" s="338"/>
      <c r="AH26" s="243"/>
    </row>
    <row r="27" spans="1:34" s="214" customFormat="1" ht="15.75" x14ac:dyDescent="0.25">
      <c r="A27" s="311">
        <v>8</v>
      </c>
      <c r="B27" s="161"/>
      <c r="C27" s="333"/>
      <c r="D27" s="334"/>
      <c r="E27" s="51"/>
      <c r="F27" s="164" t="str">
        <f t="shared" si="1"/>
        <v/>
      </c>
      <c r="G27" s="51"/>
      <c r="H27" s="51"/>
      <c r="I27" s="171" t="str">
        <f t="shared" si="2"/>
        <v/>
      </c>
      <c r="J27" s="51"/>
      <c r="K27" s="51"/>
      <c r="L27" s="51"/>
      <c r="M27" s="51"/>
      <c r="N27" s="51"/>
      <c r="O27" s="171" t="str">
        <f t="shared" si="3"/>
        <v/>
      </c>
      <c r="P27" s="51"/>
      <c r="Q27" s="51"/>
      <c r="R27" s="51"/>
      <c r="S27" s="51"/>
      <c r="T27" s="51"/>
      <c r="U27" s="171" t="str">
        <f t="shared" si="4"/>
        <v/>
      </c>
      <c r="V27" s="335"/>
      <c r="W27" s="335"/>
      <c r="X27" s="171" t="str">
        <f t="shared" si="5"/>
        <v/>
      </c>
      <c r="Y27" s="336" t="str">
        <f t="shared" si="0"/>
        <v/>
      </c>
      <c r="Z27" s="329"/>
      <c r="AA27" s="337"/>
      <c r="AB27" s="297"/>
      <c r="AC27" s="337"/>
      <c r="AD27" s="337"/>
      <c r="AE27" s="337"/>
      <c r="AF27" s="337"/>
      <c r="AG27" s="338"/>
      <c r="AH27" s="243"/>
    </row>
    <row r="28" spans="1:34" s="214" customFormat="1" ht="15.75" x14ac:dyDescent="0.25">
      <c r="A28" s="311">
        <v>8</v>
      </c>
      <c r="B28" s="161"/>
      <c r="C28" s="333"/>
      <c r="D28" s="334"/>
      <c r="E28" s="51"/>
      <c r="F28" s="164" t="str">
        <f t="shared" si="1"/>
        <v/>
      </c>
      <c r="G28" s="51"/>
      <c r="H28" s="51"/>
      <c r="I28" s="171" t="str">
        <f t="shared" si="2"/>
        <v/>
      </c>
      <c r="J28" s="51"/>
      <c r="K28" s="51"/>
      <c r="L28" s="51"/>
      <c r="M28" s="51"/>
      <c r="N28" s="51"/>
      <c r="O28" s="171" t="str">
        <f t="shared" si="3"/>
        <v/>
      </c>
      <c r="P28" s="51"/>
      <c r="Q28" s="51"/>
      <c r="R28" s="51"/>
      <c r="S28" s="51"/>
      <c r="T28" s="51"/>
      <c r="U28" s="171" t="str">
        <f t="shared" si="4"/>
        <v/>
      </c>
      <c r="V28" s="335"/>
      <c r="W28" s="335"/>
      <c r="X28" s="171" t="str">
        <f t="shared" si="5"/>
        <v/>
      </c>
      <c r="Y28" s="336" t="str">
        <f t="shared" si="0"/>
        <v/>
      </c>
      <c r="Z28" s="329"/>
      <c r="AA28" s="337"/>
      <c r="AB28" s="337"/>
      <c r="AC28" s="337"/>
      <c r="AD28" s="337"/>
      <c r="AE28" s="337"/>
      <c r="AF28" s="337"/>
      <c r="AG28" s="338"/>
      <c r="AH28" s="243"/>
    </row>
    <row r="29" spans="1:34" s="214" customFormat="1" ht="15.75" x14ac:dyDescent="0.25">
      <c r="A29" s="311">
        <v>8</v>
      </c>
      <c r="B29" s="161"/>
      <c r="C29" s="333"/>
      <c r="D29" s="334"/>
      <c r="E29" s="51"/>
      <c r="F29" s="164" t="str">
        <f t="shared" si="1"/>
        <v/>
      </c>
      <c r="G29" s="51"/>
      <c r="H29" s="51"/>
      <c r="I29" s="171" t="str">
        <f t="shared" si="2"/>
        <v/>
      </c>
      <c r="J29" s="51"/>
      <c r="K29" s="51"/>
      <c r="L29" s="51"/>
      <c r="M29" s="51"/>
      <c r="N29" s="51"/>
      <c r="O29" s="171" t="str">
        <f t="shared" si="3"/>
        <v/>
      </c>
      <c r="P29" s="51"/>
      <c r="Q29" s="51"/>
      <c r="R29" s="51"/>
      <c r="S29" s="51"/>
      <c r="T29" s="51"/>
      <c r="U29" s="171" t="str">
        <f t="shared" si="4"/>
        <v/>
      </c>
      <c r="V29" s="335"/>
      <c r="W29" s="335"/>
      <c r="X29" s="171" t="str">
        <f t="shared" si="5"/>
        <v/>
      </c>
      <c r="Y29" s="336" t="str">
        <f t="shared" si="0"/>
        <v/>
      </c>
      <c r="Z29" s="329"/>
      <c r="AA29" s="337"/>
      <c r="AB29" s="337"/>
      <c r="AC29" s="337"/>
      <c r="AD29" s="337"/>
      <c r="AE29" s="337"/>
      <c r="AF29" s="337"/>
      <c r="AG29" s="338"/>
      <c r="AH29" s="243"/>
    </row>
    <row r="30" spans="1:34" s="214" customFormat="1" ht="15.75" x14ac:dyDescent="0.25">
      <c r="A30" s="311">
        <v>8</v>
      </c>
      <c r="B30" s="161"/>
      <c r="C30" s="333"/>
      <c r="D30" s="334"/>
      <c r="E30" s="51"/>
      <c r="F30" s="164" t="str">
        <f t="shared" si="1"/>
        <v/>
      </c>
      <c r="G30" s="51"/>
      <c r="H30" s="51"/>
      <c r="I30" s="171" t="str">
        <f t="shared" si="2"/>
        <v/>
      </c>
      <c r="J30" s="51"/>
      <c r="K30" s="51"/>
      <c r="L30" s="51"/>
      <c r="M30" s="51"/>
      <c r="N30" s="51"/>
      <c r="O30" s="171" t="str">
        <f t="shared" si="3"/>
        <v/>
      </c>
      <c r="P30" s="51"/>
      <c r="Q30" s="51"/>
      <c r="R30" s="51"/>
      <c r="S30" s="51"/>
      <c r="T30" s="51"/>
      <c r="U30" s="171" t="str">
        <f t="shared" si="4"/>
        <v/>
      </c>
      <c r="V30" s="335"/>
      <c r="W30" s="335"/>
      <c r="X30" s="171" t="str">
        <f t="shared" si="5"/>
        <v/>
      </c>
      <c r="Y30" s="336" t="str">
        <f t="shared" si="0"/>
        <v/>
      </c>
      <c r="Z30" s="329"/>
      <c r="AA30" s="337"/>
      <c r="AB30" s="337"/>
      <c r="AC30" s="337"/>
      <c r="AD30" s="337"/>
      <c r="AE30" s="337"/>
      <c r="AF30" s="337"/>
      <c r="AG30" s="338"/>
      <c r="AH30" s="243"/>
    </row>
    <row r="31" spans="1:34" s="214" customFormat="1" ht="15.75" x14ac:dyDescent="0.25">
      <c r="A31" s="311">
        <v>8</v>
      </c>
      <c r="B31" s="161"/>
      <c r="C31" s="333"/>
      <c r="D31" s="334"/>
      <c r="E31" s="51"/>
      <c r="F31" s="164" t="str">
        <f t="shared" si="1"/>
        <v/>
      </c>
      <c r="G31" s="51"/>
      <c r="H31" s="51"/>
      <c r="I31" s="171" t="str">
        <f t="shared" si="2"/>
        <v/>
      </c>
      <c r="J31" s="51"/>
      <c r="K31" s="51"/>
      <c r="L31" s="51"/>
      <c r="M31" s="51"/>
      <c r="N31" s="51"/>
      <c r="O31" s="171" t="str">
        <f t="shared" si="3"/>
        <v/>
      </c>
      <c r="P31" s="51"/>
      <c r="Q31" s="51"/>
      <c r="R31" s="51"/>
      <c r="S31" s="51"/>
      <c r="T31" s="51"/>
      <c r="U31" s="171" t="str">
        <f t="shared" si="4"/>
        <v/>
      </c>
      <c r="V31" s="335"/>
      <c r="W31" s="335"/>
      <c r="X31" s="171" t="str">
        <f t="shared" si="5"/>
        <v/>
      </c>
      <c r="Y31" s="336" t="str">
        <f t="shared" si="0"/>
        <v/>
      </c>
      <c r="Z31" s="329"/>
      <c r="AA31" s="337"/>
      <c r="AB31" s="337"/>
      <c r="AC31" s="337"/>
      <c r="AD31" s="337"/>
      <c r="AE31" s="337"/>
      <c r="AF31" s="337"/>
      <c r="AG31" s="338"/>
      <c r="AH31" s="243"/>
    </row>
    <row r="32" spans="1:34" s="214" customFormat="1" ht="15.75" x14ac:dyDescent="0.25">
      <c r="A32" s="311">
        <v>8</v>
      </c>
      <c r="B32" s="161"/>
      <c r="C32" s="333"/>
      <c r="D32" s="334"/>
      <c r="E32" s="51"/>
      <c r="F32" s="164" t="str">
        <f t="shared" si="1"/>
        <v/>
      </c>
      <c r="G32" s="51"/>
      <c r="H32" s="51"/>
      <c r="I32" s="171" t="str">
        <f t="shared" si="2"/>
        <v/>
      </c>
      <c r="J32" s="51"/>
      <c r="K32" s="51"/>
      <c r="L32" s="51"/>
      <c r="M32" s="51"/>
      <c r="N32" s="51"/>
      <c r="O32" s="171" t="str">
        <f t="shared" si="3"/>
        <v/>
      </c>
      <c r="P32" s="51"/>
      <c r="Q32" s="51"/>
      <c r="R32" s="51"/>
      <c r="S32" s="51"/>
      <c r="T32" s="51"/>
      <c r="U32" s="171" t="str">
        <f t="shared" si="4"/>
        <v/>
      </c>
      <c r="V32" s="335"/>
      <c r="W32" s="335"/>
      <c r="X32" s="171" t="str">
        <f t="shared" si="5"/>
        <v/>
      </c>
      <c r="Y32" s="336" t="str">
        <f t="shared" si="0"/>
        <v/>
      </c>
      <c r="Z32" s="329"/>
      <c r="AA32" s="337"/>
      <c r="AB32" s="337"/>
      <c r="AC32" s="337"/>
      <c r="AD32" s="337"/>
      <c r="AE32" s="337"/>
      <c r="AF32" s="337"/>
      <c r="AG32" s="338"/>
      <c r="AH32" s="243"/>
    </row>
    <row r="33" spans="1:34" s="214" customFormat="1" ht="15.75" x14ac:dyDescent="0.25">
      <c r="A33" s="311">
        <v>8</v>
      </c>
      <c r="B33" s="161"/>
      <c r="C33" s="333"/>
      <c r="D33" s="334"/>
      <c r="E33" s="51"/>
      <c r="F33" s="164" t="str">
        <f t="shared" si="1"/>
        <v/>
      </c>
      <c r="G33" s="51"/>
      <c r="H33" s="51"/>
      <c r="I33" s="171" t="str">
        <f t="shared" si="2"/>
        <v/>
      </c>
      <c r="J33" s="51"/>
      <c r="K33" s="51"/>
      <c r="L33" s="51"/>
      <c r="M33" s="51"/>
      <c r="N33" s="51"/>
      <c r="O33" s="171" t="str">
        <f t="shared" si="3"/>
        <v/>
      </c>
      <c r="P33" s="51"/>
      <c r="Q33" s="51"/>
      <c r="R33" s="51"/>
      <c r="S33" s="51"/>
      <c r="T33" s="51"/>
      <c r="U33" s="171" t="str">
        <f t="shared" si="4"/>
        <v/>
      </c>
      <c r="V33" s="335"/>
      <c r="W33" s="335"/>
      <c r="X33" s="171" t="str">
        <f t="shared" si="5"/>
        <v/>
      </c>
      <c r="Y33" s="336" t="str">
        <f t="shared" si="0"/>
        <v/>
      </c>
      <c r="Z33" s="329"/>
      <c r="AA33" s="337"/>
      <c r="AB33" s="337"/>
      <c r="AC33" s="337"/>
      <c r="AD33" s="337"/>
      <c r="AE33" s="337"/>
      <c r="AF33" s="337"/>
      <c r="AG33" s="338"/>
      <c r="AH33" s="243"/>
    </row>
    <row r="34" spans="1:34" s="214" customFormat="1" ht="15.75" x14ac:dyDescent="0.25">
      <c r="A34" s="311">
        <v>8</v>
      </c>
      <c r="B34" s="161"/>
      <c r="C34" s="333"/>
      <c r="D34" s="334"/>
      <c r="E34" s="51"/>
      <c r="F34" s="164" t="str">
        <f t="shared" si="1"/>
        <v/>
      </c>
      <c r="G34" s="51"/>
      <c r="H34" s="51"/>
      <c r="I34" s="171" t="str">
        <f t="shared" si="2"/>
        <v/>
      </c>
      <c r="J34" s="51"/>
      <c r="K34" s="51"/>
      <c r="L34" s="51"/>
      <c r="M34" s="51"/>
      <c r="N34" s="51"/>
      <c r="O34" s="171" t="str">
        <f t="shared" si="3"/>
        <v/>
      </c>
      <c r="P34" s="51"/>
      <c r="Q34" s="51"/>
      <c r="R34" s="51"/>
      <c r="S34" s="51"/>
      <c r="T34" s="51"/>
      <c r="U34" s="171" t="str">
        <f t="shared" si="4"/>
        <v/>
      </c>
      <c r="V34" s="335"/>
      <c r="W34" s="335"/>
      <c r="X34" s="171" t="str">
        <f t="shared" si="5"/>
        <v/>
      </c>
      <c r="Y34" s="336" t="str">
        <f t="shared" si="0"/>
        <v/>
      </c>
      <c r="Z34" s="329"/>
      <c r="AA34" s="337"/>
      <c r="AB34" s="337"/>
      <c r="AC34" s="337"/>
      <c r="AD34" s="337"/>
      <c r="AE34" s="337"/>
      <c r="AF34" s="337"/>
      <c r="AG34" s="338"/>
      <c r="AH34" s="243"/>
    </row>
    <row r="35" spans="1:34" s="214" customFormat="1" ht="15.75" x14ac:dyDescent="0.25">
      <c r="A35" s="311">
        <v>8</v>
      </c>
      <c r="B35" s="161"/>
      <c r="C35" s="333"/>
      <c r="D35" s="334"/>
      <c r="E35" s="51"/>
      <c r="F35" s="164" t="str">
        <f t="shared" si="1"/>
        <v/>
      </c>
      <c r="G35" s="51"/>
      <c r="H35" s="51"/>
      <c r="I35" s="171" t="str">
        <f t="shared" si="2"/>
        <v/>
      </c>
      <c r="J35" s="51"/>
      <c r="K35" s="51"/>
      <c r="L35" s="51"/>
      <c r="M35" s="51"/>
      <c r="N35" s="51"/>
      <c r="O35" s="171" t="str">
        <f t="shared" si="3"/>
        <v/>
      </c>
      <c r="P35" s="51"/>
      <c r="Q35" s="51"/>
      <c r="R35" s="51"/>
      <c r="S35" s="51"/>
      <c r="T35" s="51"/>
      <c r="U35" s="171" t="str">
        <f t="shared" si="4"/>
        <v/>
      </c>
      <c r="V35" s="335"/>
      <c r="W35" s="335"/>
      <c r="X35" s="171" t="str">
        <f t="shared" si="5"/>
        <v/>
      </c>
      <c r="Y35" s="336" t="str">
        <f t="shared" si="0"/>
        <v/>
      </c>
      <c r="Z35" s="329"/>
      <c r="AA35" s="337"/>
      <c r="AB35" s="337"/>
      <c r="AC35" s="337"/>
      <c r="AD35" s="337"/>
      <c r="AE35" s="337"/>
      <c r="AF35" s="337"/>
      <c r="AG35" s="338"/>
      <c r="AH35" s="243"/>
    </row>
    <row r="36" spans="1:34" s="214" customFormat="1" ht="15.75" x14ac:dyDescent="0.25">
      <c r="A36" s="311">
        <v>8</v>
      </c>
      <c r="B36" s="161"/>
      <c r="C36" s="333"/>
      <c r="D36" s="334"/>
      <c r="E36" s="51"/>
      <c r="F36" s="164" t="str">
        <f t="shared" si="1"/>
        <v/>
      </c>
      <c r="G36" s="51"/>
      <c r="H36" s="51"/>
      <c r="I36" s="171" t="str">
        <f t="shared" ref="I36:I44" si="10">IF(G36="S",IF(H36=3,1,IF(H36=2,0.6,IF(H36=1,0.3,0))),"")</f>
        <v/>
      </c>
      <c r="J36" s="51"/>
      <c r="K36" s="51"/>
      <c r="L36" s="51"/>
      <c r="M36" s="51"/>
      <c r="N36" s="51"/>
      <c r="O36" s="171" t="str">
        <f t="shared" si="3"/>
        <v/>
      </c>
      <c r="P36" s="51"/>
      <c r="Q36" s="51"/>
      <c r="R36" s="51"/>
      <c r="S36" s="51"/>
      <c r="T36" s="51"/>
      <c r="U36" s="171" t="str">
        <f t="shared" ref="U36:U44" si="11">IF(AND($F36=1,P36="S"),IF(Q36=3,1,IF(Q36=2,0.6,IF(Q36=1,0.3,0))),"")</f>
        <v/>
      </c>
      <c r="V36" s="335"/>
      <c r="W36" s="335"/>
      <c r="X36" s="171" t="str">
        <f t="shared" ref="X36:X44" si="12">IF($F36=1,IF(V36=3,1,IF(V36=2,0.6,IF(V36=1,0.3,0))),"")</f>
        <v/>
      </c>
      <c r="Y36" s="336" t="str">
        <f t="shared" ref="Y36:Y44" si="13">IF(NOT(ISBLANK(D36)),IF(OR(ISNUMBER(I36),ISNUMBER(O36),ISNUMBER(U36),ISNUMBER(X36)),AVERAGE(I36,O36,U36,X36),0),"")</f>
        <v/>
      </c>
      <c r="Z36" s="329"/>
      <c r="AA36" s="337"/>
      <c r="AB36" s="297"/>
      <c r="AC36" s="337"/>
      <c r="AD36" s="337"/>
      <c r="AE36" s="337"/>
      <c r="AF36" s="337"/>
      <c r="AG36" s="338"/>
      <c r="AH36" s="243"/>
    </row>
    <row r="37" spans="1:34" s="214" customFormat="1" ht="15.75" x14ac:dyDescent="0.25">
      <c r="A37" s="311">
        <v>8</v>
      </c>
      <c r="B37" s="161"/>
      <c r="C37" s="333"/>
      <c r="D37" s="334"/>
      <c r="E37" s="51"/>
      <c r="F37" s="164" t="str">
        <f t="shared" si="1"/>
        <v/>
      </c>
      <c r="G37" s="51"/>
      <c r="H37" s="51"/>
      <c r="I37" s="171" t="str">
        <f t="shared" si="10"/>
        <v/>
      </c>
      <c r="J37" s="51"/>
      <c r="K37" s="51"/>
      <c r="L37" s="51"/>
      <c r="M37" s="51"/>
      <c r="N37" s="51"/>
      <c r="O37" s="171" t="str">
        <f t="shared" si="3"/>
        <v/>
      </c>
      <c r="P37" s="51"/>
      <c r="Q37" s="51"/>
      <c r="R37" s="51"/>
      <c r="S37" s="51"/>
      <c r="T37" s="51"/>
      <c r="U37" s="171" t="str">
        <f t="shared" si="11"/>
        <v/>
      </c>
      <c r="V37" s="335"/>
      <c r="W37" s="335"/>
      <c r="X37" s="171" t="str">
        <f t="shared" si="12"/>
        <v/>
      </c>
      <c r="Y37" s="336" t="str">
        <f t="shared" si="13"/>
        <v/>
      </c>
      <c r="Z37" s="329"/>
      <c r="AA37" s="337"/>
      <c r="AB37" s="337"/>
      <c r="AC37" s="337"/>
      <c r="AD37" s="337"/>
      <c r="AE37" s="337"/>
      <c r="AF37" s="337"/>
      <c r="AG37" s="338"/>
      <c r="AH37" s="243"/>
    </row>
    <row r="38" spans="1:34" s="214" customFormat="1" ht="15.75" x14ac:dyDescent="0.25">
      <c r="A38" s="311">
        <v>8</v>
      </c>
      <c r="B38" s="161"/>
      <c r="C38" s="333"/>
      <c r="D38" s="334"/>
      <c r="E38" s="51"/>
      <c r="F38" s="164" t="str">
        <f t="shared" si="1"/>
        <v/>
      </c>
      <c r="G38" s="51"/>
      <c r="H38" s="51"/>
      <c r="I38" s="171" t="str">
        <f t="shared" si="10"/>
        <v/>
      </c>
      <c r="J38" s="51"/>
      <c r="K38" s="51"/>
      <c r="L38" s="51"/>
      <c r="M38" s="51"/>
      <c r="N38" s="51"/>
      <c r="O38" s="171" t="str">
        <f t="shared" si="3"/>
        <v/>
      </c>
      <c r="P38" s="51"/>
      <c r="Q38" s="51"/>
      <c r="R38" s="51"/>
      <c r="S38" s="51"/>
      <c r="T38" s="51"/>
      <c r="U38" s="171" t="str">
        <f t="shared" si="11"/>
        <v/>
      </c>
      <c r="V38" s="335"/>
      <c r="W38" s="335"/>
      <c r="X38" s="171" t="str">
        <f t="shared" si="12"/>
        <v/>
      </c>
      <c r="Y38" s="336" t="str">
        <f t="shared" si="13"/>
        <v/>
      </c>
      <c r="Z38" s="329"/>
      <c r="AA38" s="337"/>
      <c r="AB38" s="337"/>
      <c r="AC38" s="337"/>
      <c r="AD38" s="337"/>
      <c r="AE38" s="337"/>
      <c r="AF38" s="337"/>
      <c r="AG38" s="338"/>
      <c r="AH38" s="243"/>
    </row>
    <row r="39" spans="1:34" s="214" customFormat="1" ht="15.75" x14ac:dyDescent="0.25">
      <c r="A39" s="311">
        <v>8</v>
      </c>
      <c r="B39" s="161"/>
      <c r="C39" s="333"/>
      <c r="D39" s="334"/>
      <c r="E39" s="51"/>
      <c r="F39" s="164" t="str">
        <f t="shared" si="1"/>
        <v/>
      </c>
      <c r="G39" s="51"/>
      <c r="H39" s="51"/>
      <c r="I39" s="171" t="str">
        <f t="shared" si="10"/>
        <v/>
      </c>
      <c r="J39" s="51"/>
      <c r="K39" s="51"/>
      <c r="L39" s="51"/>
      <c r="M39" s="51"/>
      <c r="N39" s="51"/>
      <c r="O39" s="171" t="str">
        <f t="shared" si="3"/>
        <v/>
      </c>
      <c r="P39" s="51"/>
      <c r="Q39" s="51"/>
      <c r="R39" s="51"/>
      <c r="S39" s="51"/>
      <c r="T39" s="51"/>
      <c r="U39" s="171" t="str">
        <f t="shared" si="11"/>
        <v/>
      </c>
      <c r="V39" s="335"/>
      <c r="W39" s="335"/>
      <c r="X39" s="171" t="str">
        <f t="shared" si="12"/>
        <v/>
      </c>
      <c r="Y39" s="336" t="str">
        <f t="shared" si="13"/>
        <v/>
      </c>
      <c r="Z39" s="329"/>
      <c r="AA39" s="337"/>
      <c r="AB39" s="337"/>
      <c r="AC39" s="337"/>
      <c r="AD39" s="337"/>
      <c r="AE39" s="337"/>
      <c r="AF39" s="337"/>
      <c r="AG39" s="338"/>
      <c r="AH39" s="243"/>
    </row>
    <row r="40" spans="1:34" s="214" customFormat="1" ht="15.75" x14ac:dyDescent="0.25">
      <c r="A40" s="311">
        <v>8</v>
      </c>
      <c r="B40" s="161"/>
      <c r="C40" s="333"/>
      <c r="D40" s="334"/>
      <c r="E40" s="51"/>
      <c r="F40" s="164" t="str">
        <f t="shared" si="1"/>
        <v/>
      </c>
      <c r="G40" s="51"/>
      <c r="H40" s="51"/>
      <c r="I40" s="171" t="str">
        <f t="shared" si="10"/>
        <v/>
      </c>
      <c r="J40" s="51"/>
      <c r="K40" s="51"/>
      <c r="L40" s="51"/>
      <c r="M40" s="51"/>
      <c r="N40" s="51"/>
      <c r="O40" s="171" t="str">
        <f t="shared" si="3"/>
        <v/>
      </c>
      <c r="P40" s="51"/>
      <c r="Q40" s="51"/>
      <c r="R40" s="51"/>
      <c r="S40" s="51"/>
      <c r="T40" s="51"/>
      <c r="U40" s="171" t="str">
        <f t="shared" si="11"/>
        <v/>
      </c>
      <c r="V40" s="335"/>
      <c r="W40" s="335"/>
      <c r="X40" s="171" t="str">
        <f t="shared" si="12"/>
        <v/>
      </c>
      <c r="Y40" s="336" t="str">
        <f t="shared" si="13"/>
        <v/>
      </c>
      <c r="Z40" s="329"/>
      <c r="AA40" s="337"/>
      <c r="AB40" s="337"/>
      <c r="AC40" s="337"/>
      <c r="AD40" s="337"/>
      <c r="AE40" s="337"/>
      <c r="AF40" s="337"/>
      <c r="AG40" s="338"/>
      <c r="AH40" s="243"/>
    </row>
    <row r="41" spans="1:34" s="214" customFormat="1" ht="15.75" x14ac:dyDescent="0.25">
      <c r="A41" s="311">
        <v>8</v>
      </c>
      <c r="B41" s="161"/>
      <c r="C41" s="333"/>
      <c r="D41" s="334"/>
      <c r="E41" s="51"/>
      <c r="F41" s="164" t="str">
        <f t="shared" si="1"/>
        <v/>
      </c>
      <c r="G41" s="51"/>
      <c r="H41" s="51"/>
      <c r="I41" s="171" t="str">
        <f t="shared" si="10"/>
        <v/>
      </c>
      <c r="J41" s="51"/>
      <c r="K41" s="51"/>
      <c r="L41" s="51"/>
      <c r="M41" s="51"/>
      <c r="N41" s="51"/>
      <c r="O41" s="171" t="str">
        <f t="shared" si="3"/>
        <v/>
      </c>
      <c r="P41" s="51"/>
      <c r="Q41" s="51"/>
      <c r="R41" s="51"/>
      <c r="S41" s="51"/>
      <c r="T41" s="51"/>
      <c r="U41" s="171" t="str">
        <f t="shared" si="11"/>
        <v/>
      </c>
      <c r="V41" s="335"/>
      <c r="W41" s="335"/>
      <c r="X41" s="171" t="str">
        <f t="shared" si="12"/>
        <v/>
      </c>
      <c r="Y41" s="336" t="str">
        <f t="shared" si="13"/>
        <v/>
      </c>
      <c r="Z41" s="329"/>
      <c r="AA41" s="337"/>
      <c r="AB41" s="337"/>
      <c r="AC41" s="337"/>
      <c r="AD41" s="337"/>
      <c r="AE41" s="337"/>
      <c r="AF41" s="337"/>
      <c r="AG41" s="338"/>
      <c r="AH41" s="243"/>
    </row>
    <row r="42" spans="1:34" s="214" customFormat="1" ht="15.75" x14ac:dyDescent="0.25">
      <c r="A42" s="311">
        <v>8</v>
      </c>
      <c r="B42" s="161"/>
      <c r="C42" s="333"/>
      <c r="D42" s="334"/>
      <c r="E42" s="51"/>
      <c r="F42" s="164" t="str">
        <f t="shared" si="1"/>
        <v/>
      </c>
      <c r="G42" s="51"/>
      <c r="H42" s="51"/>
      <c r="I42" s="171" t="str">
        <f t="shared" si="10"/>
        <v/>
      </c>
      <c r="J42" s="51"/>
      <c r="K42" s="51"/>
      <c r="L42" s="51"/>
      <c r="M42" s="51"/>
      <c r="N42" s="51"/>
      <c r="O42" s="171" t="str">
        <f t="shared" si="3"/>
        <v/>
      </c>
      <c r="P42" s="51"/>
      <c r="Q42" s="51"/>
      <c r="R42" s="51"/>
      <c r="S42" s="51"/>
      <c r="T42" s="51"/>
      <c r="U42" s="171" t="str">
        <f t="shared" si="11"/>
        <v/>
      </c>
      <c r="V42" s="335"/>
      <c r="W42" s="335"/>
      <c r="X42" s="171" t="str">
        <f t="shared" si="12"/>
        <v/>
      </c>
      <c r="Y42" s="336" t="str">
        <f t="shared" si="13"/>
        <v/>
      </c>
      <c r="Z42" s="329"/>
      <c r="AA42" s="337"/>
      <c r="AB42" s="337"/>
      <c r="AC42" s="337"/>
      <c r="AD42" s="337"/>
      <c r="AE42" s="337"/>
      <c r="AF42" s="337"/>
      <c r="AG42" s="338"/>
      <c r="AH42" s="243"/>
    </row>
    <row r="43" spans="1:34" s="214" customFormat="1" ht="15.75" x14ac:dyDescent="0.25">
      <c r="A43" s="311">
        <v>8</v>
      </c>
      <c r="B43" s="161"/>
      <c r="C43" s="333"/>
      <c r="D43" s="334"/>
      <c r="E43" s="51"/>
      <c r="F43" s="164" t="str">
        <f t="shared" si="1"/>
        <v/>
      </c>
      <c r="G43" s="51"/>
      <c r="H43" s="51"/>
      <c r="I43" s="171" t="str">
        <f t="shared" si="10"/>
        <v/>
      </c>
      <c r="J43" s="51"/>
      <c r="K43" s="51"/>
      <c r="L43" s="51"/>
      <c r="M43" s="51"/>
      <c r="N43" s="51"/>
      <c r="O43" s="171" t="str">
        <f t="shared" si="3"/>
        <v/>
      </c>
      <c r="P43" s="51"/>
      <c r="Q43" s="51"/>
      <c r="R43" s="51"/>
      <c r="S43" s="51"/>
      <c r="T43" s="51"/>
      <c r="U43" s="171" t="str">
        <f t="shared" si="11"/>
        <v/>
      </c>
      <c r="V43" s="335"/>
      <c r="W43" s="335"/>
      <c r="X43" s="171" t="str">
        <f t="shared" si="12"/>
        <v/>
      </c>
      <c r="Y43" s="336" t="str">
        <f t="shared" si="13"/>
        <v/>
      </c>
      <c r="Z43" s="329"/>
      <c r="AA43" s="337"/>
      <c r="AB43" s="337"/>
      <c r="AC43" s="337"/>
      <c r="AD43" s="337"/>
      <c r="AE43" s="337"/>
      <c r="AF43" s="337"/>
      <c r="AG43" s="338"/>
      <c r="AH43" s="243"/>
    </row>
    <row r="44" spans="1:34" s="214" customFormat="1" ht="15.75" x14ac:dyDescent="0.25">
      <c r="A44" s="311">
        <v>8</v>
      </c>
      <c r="B44" s="161"/>
      <c r="C44" s="333"/>
      <c r="D44" s="334"/>
      <c r="E44" s="51"/>
      <c r="F44" s="164" t="str">
        <f t="shared" si="1"/>
        <v/>
      </c>
      <c r="G44" s="51"/>
      <c r="H44" s="51"/>
      <c r="I44" s="171" t="str">
        <f t="shared" si="10"/>
        <v/>
      </c>
      <c r="J44" s="51"/>
      <c r="K44" s="51"/>
      <c r="L44" s="51"/>
      <c r="M44" s="51"/>
      <c r="N44" s="51"/>
      <c r="O44" s="171" t="str">
        <f t="shared" si="3"/>
        <v/>
      </c>
      <c r="P44" s="51"/>
      <c r="Q44" s="51"/>
      <c r="R44" s="51"/>
      <c r="S44" s="51"/>
      <c r="T44" s="51"/>
      <c r="U44" s="171" t="str">
        <f t="shared" si="11"/>
        <v/>
      </c>
      <c r="V44" s="335"/>
      <c r="W44" s="335"/>
      <c r="X44" s="171" t="str">
        <f t="shared" si="12"/>
        <v/>
      </c>
      <c r="Y44" s="336" t="str">
        <f t="shared" si="13"/>
        <v/>
      </c>
      <c r="Z44" s="329"/>
      <c r="AA44" s="337"/>
      <c r="AB44" s="337"/>
      <c r="AC44" s="337"/>
      <c r="AD44" s="337"/>
      <c r="AE44" s="337"/>
      <c r="AF44" s="337"/>
      <c r="AG44" s="338"/>
      <c r="AH44" s="243"/>
    </row>
    <row r="45" spans="1:34" s="214" customFormat="1" ht="6.6" customHeight="1" x14ac:dyDescent="0.25">
      <c r="A45" s="339"/>
      <c r="B45" s="149"/>
      <c r="C45" s="326"/>
      <c r="D45" s="326"/>
      <c r="E45" s="150"/>
      <c r="F45" s="340"/>
      <c r="G45" s="162"/>
      <c r="H45" s="162"/>
      <c r="I45" s="171" t="str">
        <f t="shared" si="2"/>
        <v/>
      </c>
      <c r="J45" s="162"/>
      <c r="K45" s="162"/>
      <c r="L45" s="163"/>
      <c r="M45" s="162"/>
      <c r="N45" s="162"/>
      <c r="O45" s="171" t="str">
        <f t="shared" ref="O45:O49" si="14">IF(AND($F45=1,J45="S"),IF(K45=3,1,IF(K45=2,0.6,IF(K45=1,0.3,0))),"")</f>
        <v/>
      </c>
      <c r="P45" s="150"/>
      <c r="Q45" s="150"/>
      <c r="R45" s="150"/>
      <c r="S45" s="150"/>
      <c r="T45" s="150"/>
      <c r="U45" s="171" t="str">
        <f t="shared" si="4"/>
        <v/>
      </c>
      <c r="V45" s="150"/>
      <c r="W45" s="150"/>
      <c r="X45" s="171" t="str">
        <f t="shared" si="5"/>
        <v/>
      </c>
      <c r="Y45" s="330"/>
      <c r="Z45" s="329"/>
      <c r="AA45" s="330"/>
      <c r="AB45" s="330"/>
      <c r="AC45" s="330"/>
      <c r="AD45" s="330"/>
      <c r="AE45" s="330"/>
      <c r="AF45" s="330"/>
      <c r="AG45" s="332"/>
      <c r="AH45" s="243"/>
    </row>
    <row r="46" spans="1:34" s="214" customFormat="1" ht="15.95" customHeight="1" x14ac:dyDescent="0.25">
      <c r="A46" s="339"/>
      <c r="B46" s="188">
        <f>'Quadro Geral'!D33</f>
        <v>12</v>
      </c>
      <c r="C46" s="186" t="s">
        <v>839</v>
      </c>
      <c r="D46" s="187"/>
      <c r="E46" s="180"/>
      <c r="F46" s="341"/>
      <c r="G46" s="180"/>
      <c r="H46" s="181"/>
      <c r="I46" s="342"/>
      <c r="J46" s="180"/>
      <c r="K46" s="180"/>
      <c r="L46" s="201" t="s">
        <v>840</v>
      </c>
      <c r="M46" s="165">
        <f>COUNTIFS($D9:$D45,"*",$F9:$F45,"1",M9:M45,"S")</f>
        <v>0</v>
      </c>
      <c r="N46" s="165">
        <f>COUNTIFS($D9:$D45,"*",$F9:$F45,"1",N9:N45,"S")</f>
        <v>0</v>
      </c>
      <c r="O46" s="182" t="str">
        <f t="shared" si="14"/>
        <v/>
      </c>
      <c r="P46" s="180"/>
      <c r="Q46" s="180"/>
      <c r="R46" s="180"/>
      <c r="S46" s="180"/>
      <c r="T46" s="180"/>
      <c r="U46" s="343"/>
      <c r="V46" s="748" t="s">
        <v>841</v>
      </c>
      <c r="W46" s="748"/>
      <c r="X46" s="344"/>
      <c r="Y46" s="336">
        <f>IF(COUNTIFS(D9:D45,"*",$F9:$F45,"1")&gt;0,SUMIFS($Y9:$Y45,D9:D45,"*",$F9:$F45,"1")/COUNTIFS(D9:D45,"*",$F9:$F45,"1"),0)</f>
        <v>0</v>
      </c>
      <c r="Z46" s="344"/>
      <c r="AA46" s="243"/>
      <c r="AB46" s="243"/>
      <c r="AC46" s="243"/>
      <c r="AD46" s="243"/>
      <c r="AE46" s="243"/>
      <c r="AF46" s="243"/>
      <c r="AG46" s="243"/>
      <c r="AH46" s="243"/>
    </row>
    <row r="47" spans="1:34" s="214" customFormat="1" ht="15.95" customHeight="1" x14ac:dyDescent="0.25">
      <c r="A47" s="339"/>
      <c r="B47" s="189">
        <f>IF(OR(Capa!$B$6="B",Capa!$B$6=1),(Y46*70+Y47*30)/100,
        IF(OR(Capa!$B$6=2,Capa!$B$6=3),((Y46*60+Y47*30)/100)+
                                                                IF(AND(Capa!$B$6=2,M46&gt;0),0.1,0)+
                                                                IF(AND(Capa!$B$6=3,M46&gt;0),0.05,0)+
                                                                IF(AND(Capa!$B$6=3,N46&gt;0),0.05,0),0))</f>
        <v>0</v>
      </c>
      <c r="C47" s="749" t="s">
        <v>842</v>
      </c>
      <c r="D47" s="750"/>
      <c r="E47" s="176"/>
      <c r="F47" s="341"/>
      <c r="G47" s="176"/>
      <c r="H47" s="177"/>
      <c r="I47" s="345"/>
      <c r="J47" s="176"/>
      <c r="K47" s="176"/>
      <c r="L47" s="184"/>
      <c r="M47" s="185"/>
      <c r="N47" s="185"/>
      <c r="O47" s="179"/>
      <c r="P47" s="176"/>
      <c r="Q47" s="176"/>
      <c r="R47" s="176"/>
      <c r="S47" s="176"/>
      <c r="T47" s="176"/>
      <c r="U47" s="343"/>
      <c r="V47" s="748" t="s">
        <v>843</v>
      </c>
      <c r="W47" s="748"/>
      <c r="X47" s="344"/>
      <c r="Y47" s="336">
        <f>IF(COUNTIFS(D9:D45,"*",$F9:$F45,"&lt;&gt;1")&gt;0,SUMIFS($Y9:$Y45,D9:D45,"*",$F9:$F45,"&lt;&gt;1")/COUNTIFS(D9:D45,"*",$F9:$F45,"&lt;&gt;1"),0)</f>
        <v>0</v>
      </c>
      <c r="Z47" s="344"/>
      <c r="AA47" s="243"/>
      <c r="AB47" s="243"/>
      <c r="AC47" s="243"/>
      <c r="AD47" s="243"/>
      <c r="AE47" s="243"/>
      <c r="AF47" s="243"/>
      <c r="AG47" s="243"/>
      <c r="AH47" s="243"/>
    </row>
    <row r="48" spans="1:34" s="214" customFormat="1" ht="15.6" customHeight="1" x14ac:dyDescent="0.25">
      <c r="A48" s="339"/>
      <c r="B48" s="190">
        <f>'Quadro Geral'!F33</f>
        <v>0</v>
      </c>
      <c r="C48" s="186" t="s">
        <v>844</v>
      </c>
      <c r="D48" s="346"/>
      <c r="E48" s="176"/>
      <c r="F48" s="341"/>
      <c r="G48" s="176"/>
      <c r="H48" s="177"/>
      <c r="I48" s="345"/>
      <c r="J48" s="176"/>
      <c r="K48" s="177"/>
      <c r="L48" s="178"/>
      <c r="M48" s="176"/>
      <c r="N48" s="176"/>
      <c r="O48" s="179" t="str">
        <f t="shared" si="14"/>
        <v/>
      </c>
      <c r="P48" s="176"/>
      <c r="Q48" s="177"/>
      <c r="R48" s="176"/>
      <c r="S48" s="176"/>
      <c r="T48" s="176"/>
      <c r="U48" s="343"/>
      <c r="V48" s="243"/>
      <c r="W48" s="243"/>
      <c r="X48" s="243"/>
      <c r="Y48" s="243"/>
      <c r="Z48" s="344"/>
      <c r="AA48" s="243"/>
      <c r="AB48" s="243"/>
      <c r="AC48" s="243"/>
      <c r="AD48" s="243"/>
      <c r="AE48" s="243"/>
      <c r="AF48" s="243"/>
      <c r="AG48" s="243"/>
      <c r="AH48" s="243"/>
    </row>
    <row r="49" spans="1:175" s="214" customFormat="1" ht="15.6" customHeight="1" x14ac:dyDescent="0.25">
      <c r="A49" s="339"/>
      <c r="B49" s="159"/>
      <c r="C49" s="159"/>
      <c r="D49" s="215"/>
      <c r="E49" s="176"/>
      <c r="F49" s="341"/>
      <c r="G49" s="176"/>
      <c r="H49" s="177"/>
      <c r="I49" s="345"/>
      <c r="J49" s="176"/>
      <c r="K49" s="177"/>
      <c r="L49" s="178"/>
      <c r="M49" s="176"/>
      <c r="N49" s="176"/>
      <c r="O49" s="179" t="str">
        <f t="shared" si="14"/>
        <v/>
      </c>
      <c r="P49" s="176"/>
      <c r="Q49" s="177"/>
      <c r="R49" s="176"/>
      <c r="S49" s="176"/>
      <c r="T49" s="176"/>
      <c r="U49" s="343"/>
      <c r="V49" s="176"/>
      <c r="W49" s="176"/>
      <c r="X49" s="176"/>
      <c r="Y49" s="176"/>
      <c r="Z49" s="344"/>
      <c r="AA49" s="243"/>
      <c r="AB49" s="243"/>
      <c r="AC49" s="243"/>
      <c r="AD49" s="243"/>
      <c r="AE49" s="243"/>
      <c r="AF49" s="243"/>
      <c r="AG49" s="243"/>
      <c r="AH49" s="243"/>
    </row>
    <row r="50" spans="1:175" s="214" customFormat="1" ht="6.6" customHeight="1" x14ac:dyDescent="0.25">
      <c r="A50" s="339"/>
      <c r="B50" s="183"/>
      <c r="C50" s="347"/>
      <c r="D50" s="348"/>
      <c r="E50" s="154"/>
      <c r="F50" s="349"/>
      <c r="G50" s="154"/>
      <c r="H50" s="154"/>
      <c r="I50" s="349"/>
      <c r="J50" s="154"/>
      <c r="K50" s="154"/>
      <c r="L50" s="154"/>
      <c r="M50" s="154"/>
      <c r="N50" s="154"/>
      <c r="O50" s="349"/>
      <c r="P50" s="154"/>
      <c r="Q50" s="154"/>
      <c r="R50" s="154"/>
      <c r="S50" s="154"/>
      <c r="T50" s="154"/>
      <c r="U50" s="341"/>
      <c r="V50" s="341"/>
      <c r="W50" s="341"/>
      <c r="X50" s="341"/>
      <c r="Y50" s="341"/>
      <c r="Z50" s="341"/>
      <c r="AA50" s="350"/>
      <c r="AB50" s="350"/>
      <c r="AC50" s="350"/>
      <c r="AD50" s="350"/>
      <c r="AE50" s="350"/>
      <c r="AF50" s="350"/>
      <c r="AG50" s="350"/>
      <c r="AH50" s="243"/>
    </row>
    <row r="51" spans="1:175" ht="22.5" customHeight="1" x14ac:dyDescent="0.25">
      <c r="A51" s="244"/>
      <c r="B51" s="155" t="s">
        <v>845</v>
      </c>
      <c r="C51" s="156"/>
      <c r="D51" s="156"/>
      <c r="E51" s="156"/>
      <c r="F51" s="156"/>
      <c r="G51" s="156"/>
      <c r="H51" s="156"/>
      <c r="I51" s="156"/>
      <c r="J51" s="156"/>
      <c r="K51" s="156"/>
      <c r="L51" s="156"/>
      <c r="M51" s="156"/>
      <c r="N51" s="156"/>
      <c r="O51" s="156"/>
      <c r="P51" s="156"/>
      <c r="Q51" s="156"/>
      <c r="R51" s="156"/>
      <c r="S51" s="156"/>
      <c r="T51" s="157"/>
      <c r="U51" s="244"/>
      <c r="V51" s="244"/>
      <c r="W51" s="244"/>
      <c r="X51" s="244"/>
      <c r="Y51" s="244"/>
      <c r="Z51" s="244"/>
      <c r="AA51" s="243"/>
      <c r="AB51" s="243"/>
      <c r="AC51" s="243"/>
      <c r="AD51" s="243"/>
      <c r="AE51" s="243"/>
      <c r="AF51" s="243"/>
      <c r="AG51" s="243"/>
      <c r="AH51" s="243"/>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row>
    <row r="52" spans="1:175" s="214" customFormat="1" x14ac:dyDescent="0.25">
      <c r="A52" s="243"/>
      <c r="B52" s="351"/>
      <c r="C52" s="742"/>
      <c r="D52" s="743"/>
      <c r="E52" s="743"/>
      <c r="F52" s="743"/>
      <c r="G52" s="743"/>
      <c r="H52" s="743"/>
      <c r="I52" s="743"/>
      <c r="J52" s="743"/>
      <c r="K52" s="743"/>
      <c r="L52" s="743"/>
      <c r="M52" s="743"/>
      <c r="N52" s="743"/>
      <c r="O52" s="743"/>
      <c r="P52" s="743"/>
      <c r="Q52" s="743"/>
      <c r="R52" s="743"/>
      <c r="S52" s="743"/>
      <c r="T52" s="744"/>
      <c r="U52" s="243"/>
      <c r="V52" s="243"/>
      <c r="W52" s="243"/>
      <c r="X52" s="243"/>
      <c r="Y52" s="243"/>
      <c r="Z52" s="243"/>
      <c r="AA52" s="243"/>
      <c r="AB52" s="243"/>
      <c r="AC52" s="243"/>
      <c r="AD52" s="243"/>
      <c r="AE52" s="243"/>
      <c r="AF52" s="243"/>
      <c r="AG52" s="243"/>
      <c r="AH52" s="243"/>
    </row>
    <row r="53" spans="1:175" s="214" customFormat="1" x14ac:dyDescent="0.25">
      <c r="A53" s="243"/>
      <c r="B53" s="351"/>
      <c r="C53" s="742"/>
      <c r="D53" s="743"/>
      <c r="E53" s="743"/>
      <c r="F53" s="743"/>
      <c r="G53" s="743"/>
      <c r="H53" s="743"/>
      <c r="I53" s="743"/>
      <c r="J53" s="743"/>
      <c r="K53" s="743"/>
      <c r="L53" s="743"/>
      <c r="M53" s="743"/>
      <c r="N53" s="743"/>
      <c r="O53" s="743"/>
      <c r="P53" s="743"/>
      <c r="Q53" s="743"/>
      <c r="R53" s="743"/>
      <c r="S53" s="743"/>
      <c r="T53" s="744"/>
      <c r="U53" s="243"/>
      <c r="V53" s="243"/>
      <c r="W53" s="243"/>
      <c r="X53" s="243"/>
      <c r="Y53" s="243"/>
      <c r="Z53" s="243"/>
      <c r="AA53" s="243"/>
      <c r="AB53" s="243"/>
      <c r="AC53" s="243"/>
      <c r="AD53" s="243"/>
      <c r="AE53" s="243"/>
      <c r="AF53" s="243"/>
      <c r="AG53" s="243"/>
      <c r="AH53" s="243"/>
    </row>
    <row r="54" spans="1:175" s="214" customFormat="1" x14ac:dyDescent="0.25">
      <c r="A54" s="243"/>
      <c r="B54" s="351"/>
      <c r="C54" s="742"/>
      <c r="D54" s="743"/>
      <c r="E54" s="743"/>
      <c r="F54" s="743"/>
      <c r="G54" s="743"/>
      <c r="H54" s="743"/>
      <c r="I54" s="743"/>
      <c r="J54" s="743"/>
      <c r="K54" s="743"/>
      <c r="L54" s="743"/>
      <c r="M54" s="743"/>
      <c r="N54" s="743"/>
      <c r="O54" s="743"/>
      <c r="P54" s="743"/>
      <c r="Q54" s="743"/>
      <c r="R54" s="743"/>
      <c r="S54" s="743"/>
      <c r="T54" s="744"/>
      <c r="U54" s="243"/>
      <c r="V54" s="243"/>
      <c r="W54" s="243"/>
      <c r="X54" s="243"/>
      <c r="Y54" s="243"/>
      <c r="Z54" s="243"/>
      <c r="AA54" s="243"/>
      <c r="AB54" s="243"/>
      <c r="AC54" s="243"/>
      <c r="AD54" s="243"/>
      <c r="AE54" s="243"/>
      <c r="AF54" s="243"/>
      <c r="AG54" s="243"/>
      <c r="AH54" s="243"/>
    </row>
    <row r="55" spans="1:175" s="214" customFormat="1" x14ac:dyDescent="0.25">
      <c r="A55" s="243"/>
      <c r="B55" s="351"/>
      <c r="C55" s="742"/>
      <c r="D55" s="743"/>
      <c r="E55" s="743"/>
      <c r="F55" s="743"/>
      <c r="G55" s="743"/>
      <c r="H55" s="743"/>
      <c r="I55" s="743"/>
      <c r="J55" s="743"/>
      <c r="K55" s="743"/>
      <c r="L55" s="743"/>
      <c r="M55" s="743"/>
      <c r="N55" s="743"/>
      <c r="O55" s="743"/>
      <c r="P55" s="743"/>
      <c r="Q55" s="743"/>
      <c r="R55" s="743"/>
      <c r="S55" s="743"/>
      <c r="T55" s="744"/>
      <c r="U55" s="243"/>
      <c r="V55" s="243"/>
      <c r="W55" s="243"/>
      <c r="X55" s="243"/>
      <c r="Y55" s="243"/>
      <c r="Z55" s="243"/>
      <c r="AA55" s="243"/>
      <c r="AB55" s="243"/>
      <c r="AC55" s="243"/>
      <c r="AD55" s="243"/>
      <c r="AE55" s="243"/>
      <c r="AF55" s="243"/>
      <c r="AG55" s="243"/>
      <c r="AH55" s="243"/>
    </row>
    <row r="56" spans="1:175" s="214" customFormat="1" x14ac:dyDescent="0.25">
      <c r="B56" s="158"/>
      <c r="C56" s="158"/>
    </row>
    <row r="57" spans="1:175" s="214" customFormat="1" x14ac:dyDescent="0.25">
      <c r="B57" s="158"/>
      <c r="C57" s="158"/>
    </row>
    <row r="58" spans="1:175" s="214" customFormat="1" x14ac:dyDescent="0.25">
      <c r="B58" s="158"/>
      <c r="C58" s="158"/>
    </row>
    <row r="59" spans="1:175" s="214" customFormat="1" x14ac:dyDescent="0.25">
      <c r="B59" s="158"/>
      <c r="C59" s="158"/>
    </row>
    <row r="60" spans="1:175" s="214" customFormat="1" x14ac:dyDescent="0.25">
      <c r="B60" s="158"/>
      <c r="C60" s="158"/>
    </row>
    <row r="61" spans="1:175" s="214" customFormat="1" x14ac:dyDescent="0.25">
      <c r="B61" s="158"/>
      <c r="C61" s="158"/>
    </row>
    <row r="62" spans="1:175" s="214" customFormat="1" x14ac:dyDescent="0.25">
      <c r="B62" s="158"/>
      <c r="C62" s="158"/>
    </row>
    <row r="63" spans="1:175" s="214" customFormat="1" x14ac:dyDescent="0.25">
      <c r="B63" s="158"/>
      <c r="C63" s="158"/>
    </row>
    <row r="64" spans="1:175" s="214" customFormat="1" x14ac:dyDescent="0.25">
      <c r="B64" s="158"/>
      <c r="C64" s="158"/>
    </row>
    <row r="65" spans="2:3" s="214" customFormat="1" x14ac:dyDescent="0.25">
      <c r="B65" s="158"/>
      <c r="C65" s="158"/>
    </row>
    <row r="66" spans="2:3" s="214" customFormat="1" x14ac:dyDescent="0.25">
      <c r="B66" s="158"/>
      <c r="C66" s="158"/>
    </row>
    <row r="67" spans="2:3" s="214" customFormat="1" x14ac:dyDescent="0.25">
      <c r="B67" s="158"/>
      <c r="C67" s="158"/>
    </row>
    <row r="68" spans="2:3" s="214" customFormat="1" x14ac:dyDescent="0.25">
      <c r="B68" s="158"/>
      <c r="C68" s="158"/>
    </row>
    <row r="69" spans="2:3" s="214" customFormat="1" x14ac:dyDescent="0.25">
      <c r="B69" s="158"/>
      <c r="C69" s="158"/>
    </row>
    <row r="70" spans="2:3" s="214" customFormat="1" x14ac:dyDescent="0.25">
      <c r="B70" s="158"/>
      <c r="C70" s="158"/>
    </row>
    <row r="71" spans="2:3" s="214" customFormat="1" x14ac:dyDescent="0.25">
      <c r="B71" s="158"/>
      <c r="C71" s="158"/>
    </row>
    <row r="72" spans="2:3" s="214" customFormat="1" x14ac:dyDescent="0.25">
      <c r="B72" s="158"/>
      <c r="C72" s="158"/>
    </row>
    <row r="73" spans="2:3" s="214" customFormat="1" x14ac:dyDescent="0.25">
      <c r="B73" s="158"/>
      <c r="C73" s="158"/>
    </row>
    <row r="74" spans="2:3" s="214" customFormat="1" x14ac:dyDescent="0.25">
      <c r="B74" s="158"/>
      <c r="C74" s="158"/>
    </row>
    <row r="75" spans="2:3" s="214" customFormat="1" x14ac:dyDescent="0.25">
      <c r="B75" s="158"/>
      <c r="C75" s="158"/>
    </row>
    <row r="76" spans="2:3" s="214" customFormat="1" x14ac:dyDescent="0.25">
      <c r="B76" s="158"/>
      <c r="C76" s="158"/>
    </row>
    <row r="77" spans="2:3" s="214" customFormat="1" x14ac:dyDescent="0.25">
      <c r="B77" s="158"/>
      <c r="C77" s="158"/>
    </row>
    <row r="78" spans="2:3" s="214" customFormat="1" x14ac:dyDescent="0.25">
      <c r="B78" s="158"/>
      <c r="C78" s="158"/>
    </row>
    <row r="79" spans="2:3" s="214" customFormat="1" x14ac:dyDescent="0.25">
      <c r="B79" s="158"/>
      <c r="C79" s="158"/>
    </row>
    <row r="80" spans="2:3" s="214" customFormat="1" x14ac:dyDescent="0.25">
      <c r="B80" s="158"/>
      <c r="C80" s="158"/>
    </row>
    <row r="81" spans="2:3" s="214" customFormat="1" x14ac:dyDescent="0.25">
      <c r="B81" s="158"/>
      <c r="C81" s="158"/>
    </row>
    <row r="82" spans="2:3" s="214" customFormat="1" x14ac:dyDescent="0.25">
      <c r="B82" s="158"/>
      <c r="C82" s="158"/>
    </row>
    <row r="83" spans="2:3" s="214" customFormat="1" x14ac:dyDescent="0.25">
      <c r="B83" s="158"/>
      <c r="C83" s="158"/>
    </row>
    <row r="84" spans="2:3" s="214" customFormat="1" x14ac:dyDescent="0.25">
      <c r="B84" s="158"/>
      <c r="C84" s="158"/>
    </row>
    <row r="85" spans="2:3" s="214" customFormat="1" x14ac:dyDescent="0.25">
      <c r="B85" s="158"/>
      <c r="C85" s="158"/>
    </row>
    <row r="86" spans="2:3" s="214" customFormat="1" x14ac:dyDescent="0.25">
      <c r="B86" s="158"/>
      <c r="C86" s="158"/>
    </row>
    <row r="87" spans="2:3" s="214" customFormat="1" x14ac:dyDescent="0.25">
      <c r="B87" s="158"/>
      <c r="C87" s="158"/>
    </row>
    <row r="88" spans="2:3" s="214" customFormat="1" x14ac:dyDescent="0.25">
      <c r="B88" s="158"/>
      <c r="C88" s="158"/>
    </row>
    <row r="89" spans="2:3" s="214" customFormat="1" x14ac:dyDescent="0.25">
      <c r="B89" s="158"/>
      <c r="C89" s="158"/>
    </row>
    <row r="90" spans="2:3" s="214" customFormat="1" x14ac:dyDescent="0.25">
      <c r="B90" s="158"/>
      <c r="C90" s="158"/>
    </row>
    <row r="91" spans="2:3" s="214" customFormat="1" x14ac:dyDescent="0.25">
      <c r="B91" s="158"/>
      <c r="C91" s="158"/>
    </row>
    <row r="92" spans="2:3" s="214" customFormat="1" x14ac:dyDescent="0.25">
      <c r="B92" s="158"/>
      <c r="C92" s="158"/>
    </row>
    <row r="93" spans="2:3" s="214" customFormat="1" x14ac:dyDescent="0.25">
      <c r="B93" s="158"/>
      <c r="C93" s="158"/>
    </row>
    <row r="94" spans="2:3" s="214" customFormat="1" x14ac:dyDescent="0.25">
      <c r="B94" s="158"/>
      <c r="C94" s="158"/>
    </row>
    <row r="95" spans="2:3" s="214" customFormat="1" x14ac:dyDescent="0.25">
      <c r="B95" s="158"/>
      <c r="C95" s="158"/>
    </row>
    <row r="96" spans="2:3" s="214" customFormat="1" x14ac:dyDescent="0.25">
      <c r="B96" s="158"/>
      <c r="C96" s="158"/>
    </row>
    <row r="97" spans="2:3" s="214" customFormat="1" x14ac:dyDescent="0.25">
      <c r="B97" s="158"/>
      <c r="C97" s="158"/>
    </row>
    <row r="98" spans="2:3" s="214" customFormat="1" x14ac:dyDescent="0.25">
      <c r="B98" s="158"/>
      <c r="C98" s="158"/>
    </row>
    <row r="99" spans="2:3" s="214" customFormat="1" x14ac:dyDescent="0.25">
      <c r="B99" s="158"/>
      <c r="C99" s="158"/>
    </row>
    <row r="100" spans="2:3" s="214" customFormat="1" x14ac:dyDescent="0.25">
      <c r="B100" s="158"/>
      <c r="C100" s="158"/>
    </row>
    <row r="101" spans="2:3" s="214" customFormat="1" x14ac:dyDescent="0.25">
      <c r="B101" s="158"/>
      <c r="C101" s="158"/>
    </row>
    <row r="102" spans="2:3" s="214" customFormat="1" x14ac:dyDescent="0.25">
      <c r="B102" s="158"/>
      <c r="C102" s="158"/>
    </row>
    <row r="103" spans="2:3" s="214" customFormat="1" x14ac:dyDescent="0.25">
      <c r="B103" s="158"/>
      <c r="C103" s="158"/>
    </row>
    <row r="104" spans="2:3" s="214" customFormat="1" x14ac:dyDescent="0.25">
      <c r="B104" s="158"/>
      <c r="C104" s="158"/>
    </row>
    <row r="105" spans="2:3" s="214" customFormat="1" x14ac:dyDescent="0.25">
      <c r="B105" s="158"/>
      <c r="C105" s="158"/>
    </row>
    <row r="106" spans="2:3" s="214" customFormat="1" x14ac:dyDescent="0.25">
      <c r="B106" s="158"/>
      <c r="C106" s="158"/>
    </row>
    <row r="107" spans="2:3" s="214" customFormat="1" x14ac:dyDescent="0.25">
      <c r="B107" s="158"/>
      <c r="C107" s="158"/>
    </row>
    <row r="108" spans="2:3" s="214" customFormat="1" x14ac:dyDescent="0.25">
      <c r="B108" s="158"/>
      <c r="C108" s="158"/>
    </row>
    <row r="109" spans="2:3" s="214" customFormat="1" x14ac:dyDescent="0.25">
      <c r="B109" s="158"/>
      <c r="C109" s="158"/>
    </row>
    <row r="110" spans="2:3" s="214" customFormat="1" x14ac:dyDescent="0.25">
      <c r="B110" s="158"/>
      <c r="C110" s="158"/>
    </row>
    <row r="111" spans="2:3" s="214" customFormat="1" x14ac:dyDescent="0.25">
      <c r="B111" s="158"/>
      <c r="C111" s="158"/>
    </row>
  </sheetData>
  <sheetProtection algorithmName="SHA-512" hashValue="qvH/DnKJWKAjWFhxfmpdu8uexQ/xuk6WM2fY4vYmrMitSKGEX1WmUfWKJfrsVLRkm63Nts5yxZszDJpX8cA6ZA==" saltValue="Z8kC2UIgmJI/XYtmWaKGow==" spinCount="100000" sheet="1" formatCells="0" formatColumns="0" formatRows="0"/>
  <mergeCells count="14">
    <mergeCell ref="C54:T54"/>
    <mergeCell ref="C55:T55"/>
    <mergeCell ref="AA4:AG4"/>
    <mergeCell ref="V46:W46"/>
    <mergeCell ref="C47:D47"/>
    <mergeCell ref="V47:W47"/>
    <mergeCell ref="C52:T52"/>
    <mergeCell ref="C53:T53"/>
    <mergeCell ref="G3:W3"/>
    <mergeCell ref="B4:D4"/>
    <mergeCell ref="G4:H4"/>
    <mergeCell ref="J4:N4"/>
    <mergeCell ref="P4:T4"/>
    <mergeCell ref="V4:W4"/>
  </mergeCells>
  <conditionalFormatting sqref="B4">
    <cfRule type="dataBar" priority="252">
      <dataBar>
        <cfvo type="num" val="0.1"/>
        <cfvo type="num" val="1"/>
        <color rgb="FF92D050"/>
      </dataBar>
      <extLst>
        <ext xmlns:x14="http://schemas.microsoft.com/office/spreadsheetml/2009/9/main" uri="{B025F937-C7B1-47D3-B67F-A62EFF666E3E}">
          <x14:id>{A0975BAA-DD69-4C49-AA5B-227D55EBFC33}</x14:id>
        </ext>
      </extLst>
    </cfRule>
  </conditionalFormatting>
  <conditionalFormatting sqref="H9:H44">
    <cfRule type="expression" dxfId="141" priority="19">
      <formula>AND($G9&lt;&gt;"S",NOT(ISBLANK($H9)))</formula>
    </cfRule>
  </conditionalFormatting>
  <conditionalFormatting sqref="J9:K10 M9:N10 J11:N17 J18:K18 M18:N18 J19:N23 J24:K24 M24:N24 J25:N44">
    <cfRule type="expression" dxfId="140" priority="7">
      <formula>$F9&lt;&gt;1</formula>
    </cfRule>
  </conditionalFormatting>
  <conditionalFormatting sqref="L9:L10">
    <cfRule type="expression" dxfId="139" priority="4">
      <formula>$F9&lt;&gt;1</formula>
    </cfRule>
  </conditionalFormatting>
  <conditionalFormatting sqref="L18">
    <cfRule type="expression" dxfId="138" priority="2">
      <formula>$F18&lt;&gt;1</formula>
    </cfRule>
  </conditionalFormatting>
  <conditionalFormatting sqref="L24">
    <cfRule type="expression" dxfId="137" priority="3">
      <formula>$F24&lt;&gt;1</formula>
    </cfRule>
  </conditionalFormatting>
  <conditionalFormatting sqref="P9:T44">
    <cfRule type="expression" dxfId="136" priority="6">
      <formula>$F9&lt;&gt;1</formula>
    </cfRule>
  </conditionalFormatting>
  <conditionalFormatting sqref="V9:V10">
    <cfRule type="expression" dxfId="135" priority="254">
      <formula>$F9&lt;&gt;1</formula>
    </cfRule>
  </conditionalFormatting>
  <conditionalFormatting sqref="V18">
    <cfRule type="expression" dxfId="134" priority="1">
      <formula>$F18&lt;&gt;1</formula>
    </cfRule>
  </conditionalFormatting>
  <conditionalFormatting sqref="V28:V35 V37:V44">
    <cfRule type="expression" dxfId="133" priority="138">
      <formula>$F28&lt;&gt;1</formula>
    </cfRule>
  </conditionalFormatting>
  <conditionalFormatting sqref="V9:W44">
    <cfRule type="expression" dxfId="132" priority="127" stopIfTrue="1">
      <formula>AND($F9&lt;&gt;1,NOT(ISBLANK($V9)))</formula>
    </cfRule>
  </conditionalFormatting>
  <conditionalFormatting sqref="V10:W26">
    <cfRule type="expression" dxfId="131" priority="10" stopIfTrue="1">
      <formula>AND($F10&lt;&gt;1,NOT(ISBLANK($V10)))</formula>
    </cfRule>
    <cfRule type="expression" dxfId="130" priority="11">
      <formula>$F10&lt;&gt;1</formula>
    </cfRule>
  </conditionalFormatting>
  <conditionalFormatting sqref="V27:W27">
    <cfRule type="expression" dxfId="129" priority="228">
      <formula>$F27&lt;&gt;1</formula>
    </cfRule>
  </conditionalFormatting>
  <conditionalFormatting sqref="V36:W36">
    <cfRule type="expression" dxfId="128" priority="5">
      <formula>$F36&lt;&gt;1</formula>
    </cfRule>
  </conditionalFormatting>
  <conditionalFormatting sqref="W9:W44">
    <cfRule type="expression" dxfId="127" priority="128">
      <formula>$F9&lt;&gt;1</formula>
    </cfRule>
  </conditionalFormatting>
  <dataValidations count="13">
    <dataValidation type="list" allowBlank="1" showInputMessage="1" showErrorMessage="1" error="Opção inválida!" sqref="E9:E44" xr:uid="{4087D9CB-ACF6-4572-B0CD-AC8CF059037F}">
      <formula1>"N,E,O,G,n,e,o,g,NO,EO,no,eo,ON,OE,on,oe"</formula1>
    </dataValidation>
    <dataValidation type="list" allowBlank="1" showInputMessage="1" showErrorMessage="1" error="Opção inválida! 0,1,2 ou 3" promptTitle="Há padrão suficiente" sqref="Q9:Q44" xr:uid="{DAC386E7-EA74-4E80-8377-F5AEA77D13E8}">
      <formula1>"0,1,2,3"</formula1>
    </dataValidation>
    <dataValidation type="list" allowBlank="1" showInputMessage="1" showErrorMessage="1" error="Opção inválida! 0,1,2 ou 3." sqref="V9:V44" xr:uid="{18A37FEC-81BE-4C16-A88D-26A49B26F37D}">
      <formula1>"0,1,2,3"</formula1>
    </dataValidation>
    <dataValidation type="list" allowBlank="1" showInputMessage="1" showErrorMessage="1" error="Opção inválida" promptTitle="Há padrão suficiente" sqref="K9:K44 H9:H44" xr:uid="{9C314BD8-4994-48FE-8A48-8205BEA18AB7}">
      <formula1>"0,1,2,3"</formula1>
    </dataValidation>
    <dataValidation type="list" allowBlank="1" showInputMessage="1" showErrorMessage="1" error="Opção inválida" promptTitle="Há padrão suficiente" sqref="P50 E8 J50 E45:E50 G50 P9:P44 J8:J45 G8:G45" xr:uid="{2011E9B8-6045-441F-9A3F-723380B32DE4}">
      <formula1>"S,N,s,n"</formula1>
    </dataValidation>
    <dataValidation type="list" allowBlank="1" showInputMessage="1" showErrorMessage="1" error="Opção inválida" promptTitle="Há padrão suficiente" sqref="H8 Q8 K8 H45 K45 Q45 Q50 M50:N50 H50 K50 M8:N45" xr:uid="{70A0AA58-4219-4AF6-8E48-D8C194168C0A}">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AE27 AE18 AE36" xr:uid="{12A60D14-E545-49DF-B5D3-FE363683A3A7}"/>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AD27 AD18 AD36" xr:uid="{27E4FD50-047E-43F3-9B98-49DFEF1E9CD9}"/>
    <dataValidation type="list" allowBlank="1" showInputMessage="1" showErrorMessage="1" promptTitle="Bom quando" prompt="&quot;+&quot; Aumentar_x000a_&quot;=&quot; Manter _x000a_&quot;-&quot;  Diminuir" sqref="AA9:AA44" xr:uid="{2E9CE6C1-902E-4A73-BA63-E28EC89661F9}">
      <formula1>"+,=,-"</formula1>
    </dataValidation>
    <dataValidation type="list" allowBlank="1" showInputMessage="1" showErrorMessage="1" error="Opção inválida" sqref="T8 V8:W8 V45:W45 T45 S50:T50 S8:S45" xr:uid="{7B69F154-2F21-4946-AEED-C708CCF1FDF0}">
      <formula1>"MT,EF,mt,ef"</formula1>
    </dataValidation>
    <dataValidation type="list" allowBlank="1" showInputMessage="1" showErrorMessage="1" error="Opção inválida" promptTitle="Há padrão suficiente" sqref="P8 P45" xr:uid="{D57855E2-1B13-45CE-B7E0-01478E7A6F3A}">
      <formula1>"S,N,s,n,NS,ns"</formula1>
    </dataValidation>
    <dataValidation allowBlank="1" showInputMessage="1" showErrorMessage="1" error="Opção inválida" sqref="T9:T44" xr:uid="{B0714FDB-C017-4CC9-A392-38CDA4BB976F}"/>
    <dataValidation type="list" allowBlank="1" showInputMessage="1" showErrorMessage="1" promptTitle="Informe PF ou OM" prompt="Descreva o PF ou a OM à Direita" sqref="B52:B55" xr:uid="{253B535B-E5D5-44A3-BF37-8070698537E5}">
      <formula1>"PF,OM"</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A0975BAA-DD69-4C49-AA5B-227D55EBFC33}">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A1:FS113"/>
  <sheetViews>
    <sheetView zoomScale="115" zoomScaleNormal="115" workbookViewId="0">
      <pane xSplit="4" ySplit="8" topLeftCell="E9" activePane="bottomRight" state="frozen"/>
      <selection pane="topRight" activeCell="E1" sqref="E1"/>
      <selection pane="bottomLeft" activeCell="A9" sqref="A9"/>
      <selection pane="bottomRight" activeCell="O16" sqref="O16"/>
    </sheetView>
  </sheetViews>
  <sheetFormatPr defaultColWidth="8.85546875" defaultRowHeight="15" x14ac:dyDescent="0.25"/>
  <cols>
    <col min="1" max="1" width="1.85546875" style="215" customWidth="1"/>
    <col min="2" max="2" width="12.28515625" style="159" customWidth="1"/>
    <col min="3" max="3" width="8.85546875" style="159" customWidth="1"/>
    <col min="4" max="4" width="30.140625" style="215" customWidth="1"/>
    <col min="5" max="5" width="4.42578125" style="215" customWidth="1"/>
    <col min="6" max="6" width="1.5703125" style="215" customWidth="1"/>
    <col min="7" max="7" width="8.5703125" style="215" customWidth="1"/>
    <col min="8" max="8" width="4.42578125" style="215" customWidth="1"/>
    <col min="9" max="9" width="1.85546875" style="215" customWidth="1"/>
    <col min="10" max="10" width="5.42578125" style="215" customWidth="1"/>
    <col min="11" max="11" width="3.85546875" style="215" customWidth="1"/>
    <col min="12" max="12" width="14.5703125" style="215" customWidth="1"/>
    <col min="13" max="13" width="3.140625" style="215" customWidth="1"/>
    <col min="14" max="14" width="5.140625" style="215" customWidth="1"/>
    <col min="15" max="15" width="1.85546875" style="215" customWidth="1"/>
    <col min="16" max="16" width="6.42578125" style="215" customWidth="1"/>
    <col min="17" max="17" width="3.85546875" style="215" customWidth="1"/>
    <col min="18" max="18" width="13.5703125" style="215" customWidth="1"/>
    <col min="19" max="19" width="7.140625" style="215" customWidth="1"/>
    <col min="20" max="20" width="13.5703125" style="215" customWidth="1"/>
    <col min="21" max="21" width="1.85546875" style="215" customWidth="1"/>
    <col min="22" max="22" width="4.140625" style="215" customWidth="1"/>
    <col min="23" max="23" width="12.85546875" style="215" customWidth="1"/>
    <col min="24" max="24" width="1.85546875" style="215" customWidth="1"/>
    <col min="25" max="25" width="5.1406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19.350000000000001" customHeight="1" x14ac:dyDescent="0.25">
      <c r="A2" s="244"/>
      <c r="B2" s="195" t="s">
        <v>846</v>
      </c>
      <c r="C2" s="195"/>
      <c r="D2" s="196"/>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3.35" customHeight="1" x14ac:dyDescent="0.25">
      <c r="A3" s="244"/>
      <c r="B3" s="244"/>
      <c r="C3" s="244"/>
      <c r="D3" s="244"/>
      <c r="E3" s="310"/>
      <c r="F3" s="244"/>
      <c r="G3" s="735" t="s">
        <v>23</v>
      </c>
      <c r="H3" s="735"/>
      <c r="I3" s="735"/>
      <c r="J3" s="735"/>
      <c r="K3" s="735"/>
      <c r="L3" s="735"/>
      <c r="M3" s="735"/>
      <c r="N3" s="735"/>
      <c r="O3" s="735"/>
      <c r="P3" s="735"/>
      <c r="Q3" s="735"/>
      <c r="R3" s="735"/>
      <c r="S3" s="735"/>
      <c r="T3" s="735"/>
      <c r="U3" s="735"/>
      <c r="V3" s="735"/>
      <c r="W3" s="735"/>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36">
        <f>IF(COUNTIF($D8:$D47,"*")&gt;0,(COUNTIFS($D8:$D47,"*",$F8:$F47,"1",V8:V47,"&gt;=0")+COUNTIFS($D8:$D47,"*",$F8:$F47,"&lt;&gt;1",E8:E47,"*"))/COUNTIF($D8:$D47,"*"),0)</f>
        <v>0</v>
      </c>
      <c r="C4" s="736"/>
      <c r="D4" s="736"/>
      <c r="E4" s="310"/>
      <c r="F4" s="244"/>
      <c r="G4" s="737" t="s">
        <v>808</v>
      </c>
      <c r="H4" s="738"/>
      <c r="I4" s="171" t="str">
        <f>IF(ISNUMBER(AVERAGE(I9:I47)),AVERAGE(I9:I47),"Sem")</f>
        <v>Sem</v>
      </c>
      <c r="J4" s="739" t="s">
        <v>809</v>
      </c>
      <c r="K4" s="739"/>
      <c r="L4" s="739"/>
      <c r="M4" s="739"/>
      <c r="N4" s="739"/>
      <c r="O4" s="171" t="str">
        <f>IF(ISNUMBER(AVERAGE(O9:O47)),AVERAGE(O9:O47),"Sem")</f>
        <v>Sem</v>
      </c>
      <c r="P4" s="739" t="s">
        <v>810</v>
      </c>
      <c r="Q4" s="739"/>
      <c r="R4" s="739"/>
      <c r="S4" s="739"/>
      <c r="T4" s="739"/>
      <c r="U4" s="171" t="str">
        <f>IF(ISNUMBER(AVERAGE(U9:U47)),AVERAGE(U9:U47),"Sem")</f>
        <v>Sem</v>
      </c>
      <c r="V4" s="740" t="s">
        <v>811</v>
      </c>
      <c r="W4" s="741"/>
      <c r="X4" s="207" t="str">
        <f>IF(ISNUMBER(AVERAGE(X9:X47)),AVERAGE(X9:X47),"Sem")</f>
        <v>Sem</v>
      </c>
      <c r="Y4" s="142"/>
      <c r="Z4" s="142"/>
      <c r="AA4" s="745" t="s">
        <v>812</v>
      </c>
      <c r="AB4" s="746"/>
      <c r="AC4" s="746"/>
      <c r="AD4" s="746"/>
      <c r="AE4" s="746"/>
      <c r="AF4" s="746"/>
      <c r="AG4" s="747"/>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12.95"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1.35"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18.95" customHeight="1" x14ac:dyDescent="0.25">
      <c r="A9" s="311">
        <v>8</v>
      </c>
      <c r="B9" s="674"/>
      <c r="C9" s="675"/>
      <c r="D9" s="676"/>
      <c r="E9" s="677"/>
      <c r="F9" s="164" t="str">
        <f>IF(OR(ISNUMBER(SEARCH("N",$E9)),ISNUMBER(SEARCH("E",$E9))),1,"")</f>
        <v/>
      </c>
      <c r="G9" s="677"/>
      <c r="H9" s="51"/>
      <c r="I9" s="171" t="str">
        <f>IF(G9="S",IF(H9=3,1,IF(H9=2,0.6,IF(H9=1,0.3,0))),"")</f>
        <v/>
      </c>
      <c r="J9" s="51"/>
      <c r="K9" s="51"/>
      <c r="L9" s="51"/>
      <c r="M9" s="51"/>
      <c r="N9" s="51"/>
      <c r="O9" s="171" t="str">
        <f>IF(AND($F9=1,J9="S"),IF(K9=3,1,IF(K9=2,0.6,IF(K9=1,0.3,0))),"")</f>
        <v/>
      </c>
      <c r="P9" s="51"/>
      <c r="Q9" s="51"/>
      <c r="R9" s="51"/>
      <c r="S9" s="51"/>
      <c r="T9" s="51"/>
      <c r="U9" s="171" t="str">
        <f>IF(AND($F9=1,P9="S"),IF(Q9=3,1,IF(Q9=2,0.6,IF(Q9=1,0.3,0))),"")</f>
        <v/>
      </c>
      <c r="V9" s="335"/>
      <c r="W9" s="335"/>
      <c r="X9" s="171" t="str">
        <f>IF($F9=1,IF(V9=3,1,IF(V9=2,0.6,IF(V9=1,0.3,0))),"")</f>
        <v/>
      </c>
      <c r="Y9" s="336" t="str">
        <f t="shared" ref="Y9:Y31" si="0">IF(NOT(ISBLANK(D9)),IF(OR(ISNUMBER(I9),ISNUMBER(O9),ISNUMBER(U9),ISNUMBER(X9)),AVERAGE(I9,O9,U9,X9),0),"")</f>
        <v/>
      </c>
      <c r="Z9" s="329"/>
      <c r="AA9" s="337"/>
      <c r="AB9" s="297"/>
      <c r="AC9" s="337"/>
      <c r="AD9" s="337"/>
      <c r="AE9" s="337"/>
      <c r="AF9" s="337"/>
      <c r="AG9" s="338"/>
      <c r="AH9" s="243"/>
    </row>
    <row r="10" spans="1:175" ht="31.5" customHeight="1" x14ac:dyDescent="0.25">
      <c r="A10" s="311">
        <v>8</v>
      </c>
      <c r="B10" s="674"/>
      <c r="C10" s="675"/>
      <c r="D10" s="676"/>
      <c r="E10" s="677"/>
      <c r="F10" s="164" t="str">
        <f t="shared" ref="F10:F46" si="1">IF(OR(ISNUMBER(SEARCH("N",$E10)),ISNUMBER(SEARCH("E",$E10))),1,"")</f>
        <v/>
      </c>
      <c r="G10" s="677"/>
      <c r="H10" s="51"/>
      <c r="I10" s="171" t="str">
        <f t="shared" ref="I10:I47" si="2">IF(G10="S",IF(H10=3,1,IF(H10=2,0.6,IF(H10=1,0.3,0))),"")</f>
        <v/>
      </c>
      <c r="J10" s="51"/>
      <c r="K10" s="51"/>
      <c r="L10" s="51"/>
      <c r="M10" s="681"/>
      <c r="N10" s="51"/>
      <c r="O10" s="171" t="str">
        <f t="shared" ref="O10:O51" si="3">IF(AND($F10=1,J10="S"),IF(K10=3,1,IF(K10=2,0.6,IF(K10=1,0.3,0))),"")</f>
        <v/>
      </c>
      <c r="P10" s="51"/>
      <c r="Q10" s="51"/>
      <c r="R10" s="682"/>
      <c r="S10" s="51"/>
      <c r="T10" s="51"/>
      <c r="U10" s="171" t="str">
        <f t="shared" ref="U10:U47" si="4">IF(AND($F10=1,P10="S"),IF(Q10=3,1,IF(Q10=2,0.6,IF(Q10=1,0.3,0))),"")</f>
        <v/>
      </c>
      <c r="V10" s="335"/>
      <c r="W10" s="335"/>
      <c r="X10" s="171" t="str">
        <f t="shared" ref="X10:X47" si="5">IF($F10=1,IF(V10=3,1,IF(V10=2,0.6,IF(V10=1,0.3,0))),"")</f>
        <v/>
      </c>
      <c r="Y10" s="336" t="str">
        <f t="shared" si="0"/>
        <v/>
      </c>
      <c r="Z10" s="329"/>
      <c r="AA10" s="337"/>
      <c r="AB10" s="297"/>
      <c r="AC10" s="337"/>
      <c r="AD10" s="337"/>
      <c r="AE10" s="337"/>
      <c r="AF10" s="337"/>
      <c r="AG10" s="338"/>
      <c r="AH10" s="243"/>
    </row>
    <row r="11" spans="1:175" ht="20.100000000000001" customHeight="1" x14ac:dyDescent="0.25">
      <c r="A11" s="311">
        <v>8</v>
      </c>
      <c r="B11" s="674"/>
      <c r="C11" s="675"/>
      <c r="D11" s="676"/>
      <c r="E11" s="677"/>
      <c r="F11" s="164" t="str">
        <f t="shared" si="1"/>
        <v/>
      </c>
      <c r="G11" s="677"/>
      <c r="H11" s="51"/>
      <c r="I11" s="171" t="str">
        <f>IF(G11="S",IF(H11=3,1,IF(H11=2,0.6,IF(H11=1,0.3,0))),"")</f>
        <v/>
      </c>
      <c r="J11" s="51"/>
      <c r="K11" s="51"/>
      <c r="L11" s="51"/>
      <c r="M11" s="51"/>
      <c r="N11" s="51"/>
      <c r="O11" s="171" t="str">
        <f>IF(AND($F11=1,J11="S"),IF(K11=3,1,IF(K11=2,0.6,IF(K11=1,0.3,0))),"")</f>
        <v/>
      </c>
      <c r="P11" s="51"/>
      <c r="Q11" s="51"/>
      <c r="R11" s="51"/>
      <c r="S11" s="51"/>
      <c r="T11" s="51"/>
      <c r="U11" s="171" t="str">
        <f>IF(AND($F11=1,P11="S"),IF(Q11=3,1,IF(Q11=2,0.6,IF(Q11=1,0.3,0))),"")</f>
        <v/>
      </c>
      <c r="V11" s="335"/>
      <c r="W11" s="335"/>
      <c r="X11" s="171" t="str">
        <f>IF($F11=1,IF(V11=3,1,IF(V11=2,0.6,IF(V11=1,0.3,0))),"")</f>
        <v/>
      </c>
      <c r="Y11" s="336" t="str">
        <f>IF(NOT(ISBLANK(D11)),IF(OR(ISNUMBER(I11),ISNUMBER(O11),ISNUMBER(U11),ISNUMBER(X11)),AVERAGE(I11,O11,U11,X11),0),"")</f>
        <v/>
      </c>
      <c r="Z11" s="329"/>
      <c r="AA11" s="337"/>
      <c r="AB11" s="337"/>
      <c r="AC11" s="337"/>
      <c r="AD11" s="337"/>
      <c r="AE11" s="337"/>
      <c r="AF11" s="337"/>
      <c r="AG11" s="338"/>
      <c r="AH11" s="243"/>
    </row>
    <row r="12" spans="1:175" ht="23.25" x14ac:dyDescent="0.25">
      <c r="A12" s="311">
        <v>8</v>
      </c>
      <c r="B12" s="674"/>
      <c r="C12" s="675"/>
      <c r="D12" s="676"/>
      <c r="E12" s="677"/>
      <c r="F12" s="164" t="str">
        <f t="shared" si="1"/>
        <v/>
      </c>
      <c r="G12" s="677"/>
      <c r="H12" s="51"/>
      <c r="I12" s="171" t="str">
        <f>IF(G12="S",IF(H12=3,1,IF(H12=2,0.6,IF(H12=1,0.3,0))),"")</f>
        <v/>
      </c>
      <c r="J12" s="51"/>
      <c r="K12" s="51"/>
      <c r="L12" s="51"/>
      <c r="M12" s="51"/>
      <c r="N12" s="51"/>
      <c r="O12" s="171" t="str">
        <f>IF(AND($F12=1,J12="S"),IF(K12=3,1,IF(K12=2,0.6,IF(K12=1,0.3,0))),"")</f>
        <v/>
      </c>
      <c r="P12" s="51"/>
      <c r="Q12" s="51"/>
      <c r="R12" s="51"/>
      <c r="S12" s="51"/>
      <c r="T12" s="51"/>
      <c r="U12" s="171" t="str">
        <f>IF(AND($F12=1,P12="S"),IF(Q12=3,1,IF(Q12=2,0.6,IF(Q12=1,0.3,0))),"")</f>
        <v/>
      </c>
      <c r="V12" s="335"/>
      <c r="W12" s="335"/>
      <c r="X12" s="171" t="str">
        <f>IF($F12=1,IF(V12=3,1,IF(V12=2,0.6,IF(V12=1,0.3,0))),"")</f>
        <v/>
      </c>
      <c r="Y12" s="336" t="str">
        <f>IF(NOT(ISBLANK(D12)),IF(OR(ISNUMBER(I12),ISNUMBER(O12),ISNUMBER(U12),ISNUMBER(X12)),AVERAGE(I12,O12,U12,X12),0),"")</f>
        <v/>
      </c>
      <c r="Z12" s="329"/>
      <c r="AA12" s="337"/>
      <c r="AB12" s="337"/>
      <c r="AC12" s="337"/>
      <c r="AD12" s="337"/>
      <c r="AE12" s="337"/>
      <c r="AF12" s="337"/>
      <c r="AG12" s="338"/>
      <c r="AH12" s="243"/>
    </row>
    <row r="13" spans="1:175" ht="20.25" x14ac:dyDescent="0.25">
      <c r="A13" s="311">
        <v>8</v>
      </c>
      <c r="B13" s="674"/>
      <c r="C13" s="675"/>
      <c r="D13" s="676"/>
      <c r="E13" s="677"/>
      <c r="F13" s="164" t="str">
        <f t="shared" si="1"/>
        <v/>
      </c>
      <c r="G13" s="677"/>
      <c r="H13" s="51"/>
      <c r="I13" s="171" t="str">
        <f>IF(G13="S",IF(H13=3,1,IF(H13=2,0.6,IF(H13=1,0.3,0))),"")</f>
        <v/>
      </c>
      <c r="J13" s="51"/>
      <c r="K13" s="51"/>
      <c r="L13" s="51"/>
      <c r="M13" s="51"/>
      <c r="N13" s="51"/>
      <c r="O13" s="171" t="str">
        <f>IF(AND($F13=1,J13="S"),IF(K13=3,1,IF(K13=2,0.6,IF(K13=1,0.3,0))),"")</f>
        <v/>
      </c>
      <c r="P13" s="51"/>
      <c r="Q13" s="51"/>
      <c r="R13" s="51"/>
      <c r="S13" s="51"/>
      <c r="T13" s="51"/>
      <c r="U13" s="171" t="str">
        <f>IF(AND($F13=1,P13="S"),IF(Q13=3,1,IF(Q13=2,0.6,IF(Q13=1,0.3,0))),"")</f>
        <v/>
      </c>
      <c r="V13" s="335"/>
      <c r="W13" s="335"/>
      <c r="X13" s="171" t="str">
        <f>IF($F13=1,IF(V13=3,1,IF(V13=2,0.6,IF(V13=1,0.3,0))),"")</f>
        <v/>
      </c>
      <c r="Y13" s="336" t="str">
        <f>IF(NOT(ISBLANK(D13)),IF(OR(ISNUMBER(I13),ISNUMBER(O13),ISNUMBER(U13),ISNUMBER(X13)),AVERAGE(I13,O13,U13,X13),0),"")</f>
        <v/>
      </c>
      <c r="Z13" s="329"/>
      <c r="AA13" s="337"/>
      <c r="AB13" s="337"/>
      <c r="AC13" s="337"/>
      <c r="AD13" s="337"/>
      <c r="AE13" s="337"/>
      <c r="AF13" s="337"/>
      <c r="AG13" s="338"/>
      <c r="AH13" s="243"/>
    </row>
    <row r="14" spans="1:175" ht="20.25" x14ac:dyDescent="0.25">
      <c r="A14" s="311">
        <v>8</v>
      </c>
      <c r="B14" s="674"/>
      <c r="C14" s="675"/>
      <c r="D14" s="676"/>
      <c r="E14" s="677"/>
      <c r="F14" s="164" t="str">
        <f t="shared" si="1"/>
        <v/>
      </c>
      <c r="G14" s="677"/>
      <c r="H14" s="51"/>
      <c r="I14" s="171" t="str">
        <f>IF(G14="S",IF(H14=3,1,IF(H14=2,0.6,IF(H14=1,0.3,0))),"")</f>
        <v/>
      </c>
      <c r="J14" s="51"/>
      <c r="K14" s="51"/>
      <c r="L14" s="51"/>
      <c r="M14" s="51"/>
      <c r="N14" s="51"/>
      <c r="O14" s="171" t="str">
        <f>IF(AND($F14=1,J14="S"),IF(K14=3,1,IF(K14=2,0.6,IF(K14=1,0.3,0))),"")</f>
        <v/>
      </c>
      <c r="P14" s="51"/>
      <c r="Q14" s="51"/>
      <c r="R14" s="51"/>
      <c r="S14" s="51"/>
      <c r="T14" s="51"/>
      <c r="U14" s="171" t="str">
        <f>IF(AND($F14=1,P14="S"),IF(Q14=3,1,IF(Q14=2,0.6,IF(Q14=1,0.3,0))),"")</f>
        <v/>
      </c>
      <c r="V14" s="335"/>
      <c r="W14" s="335"/>
      <c r="X14" s="171" t="str">
        <f>IF($F14=1,IF(V14=3,1,IF(V14=2,0.6,IF(V14=1,0.3,0))),"")</f>
        <v/>
      </c>
      <c r="Y14" s="336" t="str">
        <f>IF(NOT(ISBLANK(D14)),IF(OR(ISNUMBER(I14),ISNUMBER(O14),ISNUMBER(U14),ISNUMBER(X14)),AVERAGE(I14,O14,U14,X14),0),"")</f>
        <v/>
      </c>
      <c r="Z14" s="329"/>
      <c r="AA14" s="337"/>
      <c r="AB14" s="337"/>
      <c r="AC14" s="337"/>
      <c r="AD14" s="337"/>
      <c r="AE14" s="337"/>
      <c r="AF14" s="337"/>
      <c r="AG14" s="338"/>
      <c r="AH14" s="243"/>
    </row>
    <row r="15" spans="1:175" ht="15.75" x14ac:dyDescent="0.25">
      <c r="A15" s="311">
        <v>8</v>
      </c>
      <c r="B15" s="674"/>
      <c r="C15" s="675"/>
      <c r="D15" s="676"/>
      <c r="E15" s="677"/>
      <c r="F15" s="164" t="str">
        <f t="shared" si="1"/>
        <v/>
      </c>
      <c r="G15" s="677"/>
      <c r="H15" s="51"/>
      <c r="I15" s="171" t="str">
        <f>IF(G15="S",IF(H15=3,1,IF(H15=2,0.6,IF(H15=1,0.3,0))),"")</f>
        <v/>
      </c>
      <c r="J15" s="681"/>
      <c r="K15" s="681"/>
      <c r="L15" s="51"/>
      <c r="M15" s="51"/>
      <c r="N15" s="51"/>
      <c r="O15" s="171" t="str">
        <f>IF(AND($F15=1,J15="S"),IF(K15=3,1,IF(K15=2,0.6,IF(K15=1,0.3,0))),"")</f>
        <v/>
      </c>
      <c r="P15" s="51"/>
      <c r="Q15" s="681"/>
      <c r="R15" s="51"/>
      <c r="S15" s="51"/>
      <c r="T15" s="51"/>
      <c r="U15" s="171" t="str">
        <f>IF(AND($F15=1,P15="S"),IF(Q15=3,1,IF(Q15=2,0.6,IF(Q15=1,0.3,0))),"")</f>
        <v/>
      </c>
      <c r="V15" s="335"/>
      <c r="W15" s="335"/>
      <c r="X15" s="171" t="str">
        <f>IF($F15=1,IF(V15=3,1,IF(V15=2,0.6,IF(V15=1,0.3,0))),"")</f>
        <v/>
      </c>
      <c r="Y15" s="336" t="str">
        <f>IF(NOT(ISBLANK(D15)),IF(OR(ISNUMBER(I15),ISNUMBER(O15),ISNUMBER(U15),ISNUMBER(X15)),AVERAGE(I15,O15,U15,X15),0),"")</f>
        <v/>
      </c>
      <c r="Z15" s="329"/>
      <c r="AA15" s="337"/>
      <c r="AB15" s="337"/>
      <c r="AC15" s="337"/>
      <c r="AD15" s="337"/>
      <c r="AE15" s="337"/>
      <c r="AF15" s="337"/>
      <c r="AG15" s="338"/>
      <c r="AH15" s="243"/>
    </row>
    <row r="16" spans="1:175" ht="49.5" customHeight="1" x14ac:dyDescent="0.25">
      <c r="A16" s="311">
        <v>8</v>
      </c>
      <c r="B16" s="674"/>
      <c r="C16" s="675"/>
      <c r="D16" s="676"/>
      <c r="E16" s="677"/>
      <c r="F16" s="164" t="str">
        <f t="shared" si="1"/>
        <v/>
      </c>
      <c r="G16" s="677"/>
      <c r="H16" s="51"/>
      <c r="I16" s="171" t="str">
        <f t="shared" si="2"/>
        <v/>
      </c>
      <c r="J16" s="51"/>
      <c r="K16" s="51"/>
      <c r="L16" s="682"/>
      <c r="M16" s="51"/>
      <c r="N16" s="51"/>
      <c r="O16" s="171" t="str">
        <f t="shared" si="3"/>
        <v/>
      </c>
      <c r="P16" s="51"/>
      <c r="Q16" s="51"/>
      <c r="R16" s="51"/>
      <c r="S16" s="51"/>
      <c r="T16" s="51"/>
      <c r="U16" s="171" t="str">
        <f t="shared" si="4"/>
        <v/>
      </c>
      <c r="V16" s="335"/>
      <c r="W16" s="51"/>
      <c r="X16" s="171" t="str">
        <f t="shared" si="5"/>
        <v/>
      </c>
      <c r="Y16" s="336" t="str">
        <f t="shared" si="0"/>
        <v/>
      </c>
      <c r="Z16" s="329"/>
      <c r="AA16" s="337"/>
      <c r="AB16" s="337"/>
      <c r="AC16" s="337"/>
      <c r="AD16" s="337"/>
      <c r="AE16" s="337"/>
      <c r="AF16" s="337"/>
      <c r="AG16" s="338"/>
      <c r="AH16" s="243"/>
    </row>
    <row r="17" spans="1:34" ht="21.95" customHeight="1" x14ac:dyDescent="0.25">
      <c r="A17" s="311">
        <v>8</v>
      </c>
      <c r="B17" s="674"/>
      <c r="C17" s="675"/>
      <c r="D17" s="676"/>
      <c r="E17" s="677"/>
      <c r="F17" s="164" t="str">
        <f t="shared" si="1"/>
        <v/>
      </c>
      <c r="G17" s="677"/>
      <c r="H17" s="51"/>
      <c r="I17" s="171" t="str">
        <f t="shared" si="2"/>
        <v/>
      </c>
      <c r="J17" s="51"/>
      <c r="K17" s="51"/>
      <c r="L17" s="51"/>
      <c r="M17" s="51"/>
      <c r="N17" s="51"/>
      <c r="O17" s="171" t="str">
        <f t="shared" si="3"/>
        <v/>
      </c>
      <c r="P17" s="51"/>
      <c r="Q17" s="51"/>
      <c r="R17" s="51"/>
      <c r="S17" s="51"/>
      <c r="T17" s="51"/>
      <c r="U17" s="171" t="str">
        <f t="shared" si="4"/>
        <v/>
      </c>
      <c r="V17" s="335"/>
      <c r="W17" s="335"/>
      <c r="X17" s="171" t="str">
        <f t="shared" si="5"/>
        <v/>
      </c>
      <c r="Y17" s="336" t="str">
        <f t="shared" si="0"/>
        <v/>
      </c>
      <c r="Z17" s="329"/>
      <c r="AA17" s="337"/>
      <c r="AB17" s="337"/>
      <c r="AC17" s="337"/>
      <c r="AD17" s="337"/>
      <c r="AE17" s="337"/>
      <c r="AF17" s="337"/>
      <c r="AG17" s="338"/>
      <c r="AH17" s="243"/>
    </row>
    <row r="18" spans="1:34" ht="20.85" customHeight="1" x14ac:dyDescent="0.25">
      <c r="A18" s="311">
        <v>8</v>
      </c>
      <c r="B18" s="674"/>
      <c r="C18" s="675"/>
      <c r="D18" s="676"/>
      <c r="E18" s="677"/>
      <c r="F18" s="164" t="str">
        <f t="shared" si="1"/>
        <v/>
      </c>
      <c r="G18" s="677"/>
      <c r="H18" s="51"/>
      <c r="I18" s="171" t="str">
        <f t="shared" ref="I18" si="6">IF(G18="S",IF(H18=3,1,IF(H18=2,0.6,IF(H18=1,0.3,0))),"")</f>
        <v/>
      </c>
      <c r="J18" s="51"/>
      <c r="K18" s="51"/>
      <c r="L18" s="51"/>
      <c r="M18" s="51"/>
      <c r="N18" s="51"/>
      <c r="O18" s="171" t="str">
        <f t="shared" ref="O18" si="7">IF(AND($F18=1,J18="S"),IF(K18=3,1,IF(K18=2,0.6,IF(K18=1,0.3,0))),"")</f>
        <v/>
      </c>
      <c r="P18" s="51"/>
      <c r="Q18" s="51"/>
      <c r="R18" s="51"/>
      <c r="S18" s="51"/>
      <c r="T18" s="51"/>
      <c r="U18" s="171" t="str">
        <f t="shared" ref="U18" si="8">IF(AND($F18=1,P18="S"),IF(Q18=3,1,IF(Q18=2,0.6,IF(Q18=1,0.3,0))),"")</f>
        <v/>
      </c>
      <c r="V18" s="335"/>
      <c r="W18" s="335"/>
      <c r="X18" s="171" t="str">
        <f t="shared" ref="X18" si="9">IF($F18=1,IF(V18=3,1,IF(V18=2,0.6,IF(V18=1,0.3,0))),"")</f>
        <v/>
      </c>
      <c r="Y18" s="336" t="str">
        <f t="shared" ref="Y18" si="10">IF(NOT(ISBLANK(D18)),IF(OR(ISNUMBER(I18),ISNUMBER(O18),ISNUMBER(U18),ISNUMBER(X18)),AVERAGE(I18,O18,U18,X18),0),"")</f>
        <v/>
      </c>
      <c r="Z18" s="329"/>
      <c r="AA18" s="337"/>
      <c r="AB18" s="297"/>
      <c r="AC18" s="337"/>
      <c r="AD18" s="337"/>
      <c r="AE18" s="337"/>
      <c r="AF18" s="337"/>
      <c r="AG18" s="338"/>
      <c r="AH18" s="243"/>
    </row>
    <row r="19" spans="1:34" ht="20.100000000000001" customHeight="1" x14ac:dyDescent="0.25">
      <c r="A19" s="311">
        <v>8</v>
      </c>
      <c r="B19" s="161"/>
      <c r="C19" s="333"/>
      <c r="D19" s="334"/>
      <c r="E19" s="51"/>
      <c r="F19" s="164" t="str">
        <f t="shared" si="1"/>
        <v/>
      </c>
      <c r="G19" s="51"/>
      <c r="H19" s="51"/>
      <c r="I19" s="171" t="str">
        <f>IF(G19="S",IF(H19=3,1,IF(H19=2,0.6,IF(H19=1,0.3,0))),"")</f>
        <v/>
      </c>
      <c r="J19" s="51"/>
      <c r="K19" s="51"/>
      <c r="L19" s="51"/>
      <c r="M19" s="51"/>
      <c r="N19" s="51"/>
      <c r="O19" s="171" t="str">
        <f>IF(AND($F19=1,J19="S"),IF(K19=3,1,IF(K19=2,0.6,IF(K19=1,0.3,0))),"")</f>
        <v/>
      </c>
      <c r="P19" s="51"/>
      <c r="Q19" s="51"/>
      <c r="R19" s="51"/>
      <c r="S19" s="51"/>
      <c r="T19" s="51"/>
      <c r="U19" s="171" t="str">
        <f>IF(AND($F19=1,P19="S"),IF(Q19=3,1,IF(Q19=2,0.6,IF(Q19=1,0.3,0))),"")</f>
        <v/>
      </c>
      <c r="V19" s="335"/>
      <c r="W19" s="335"/>
      <c r="X19" s="171" t="str">
        <f>IF($F19=1,IF(V19=3,1,IF(V19=2,0.6,IF(V19=1,0.3,0))),"")</f>
        <v/>
      </c>
      <c r="Y19" s="336" t="str">
        <f>IF(NOT(ISBLANK(D19)),IF(OR(ISNUMBER(I19),ISNUMBER(O19),ISNUMBER(U19),ISNUMBER(X19)),AVERAGE(I19,O19,U19,X19),0),"")</f>
        <v/>
      </c>
      <c r="Z19" s="329"/>
      <c r="AA19" s="337"/>
      <c r="AB19" s="337"/>
      <c r="AC19" s="337"/>
      <c r="AD19" s="337"/>
      <c r="AE19" s="337"/>
      <c r="AF19" s="337"/>
      <c r="AG19" s="338"/>
      <c r="AH19" s="243"/>
    </row>
    <row r="20" spans="1:34" ht="20.25" x14ac:dyDescent="0.25">
      <c r="A20" s="311">
        <v>8</v>
      </c>
      <c r="B20" s="161"/>
      <c r="C20" s="333"/>
      <c r="D20" s="334"/>
      <c r="E20" s="51"/>
      <c r="F20" s="164" t="str">
        <f t="shared" si="1"/>
        <v/>
      </c>
      <c r="G20" s="51"/>
      <c r="H20" s="51"/>
      <c r="I20" s="171" t="str">
        <f>IF(G20="S",IF(H20=3,1,IF(H20=2,0.6,IF(H20=1,0.3,0))),"")</f>
        <v/>
      </c>
      <c r="J20" s="51"/>
      <c r="K20" s="51"/>
      <c r="L20" s="51"/>
      <c r="M20" s="51"/>
      <c r="N20" s="51"/>
      <c r="O20" s="171" t="str">
        <f>IF(AND($F20=1,J20="S"),IF(K20=3,1,IF(K20=2,0.6,IF(K20=1,0.3,0))),"")</f>
        <v/>
      </c>
      <c r="P20" s="51"/>
      <c r="Q20" s="51"/>
      <c r="R20" s="51"/>
      <c r="S20" s="51"/>
      <c r="T20" s="51"/>
      <c r="U20" s="171" t="str">
        <f>IF(AND($F20=1,P20="S"),IF(Q20=3,1,IF(Q20=2,0.6,IF(Q20=1,0.3,0))),"")</f>
        <v/>
      </c>
      <c r="V20" s="335"/>
      <c r="W20" s="335"/>
      <c r="X20" s="171" t="str">
        <f>IF($F20=1,IF(V20=3,1,IF(V20=2,0.6,IF(V20=1,0.3,0))),"")</f>
        <v/>
      </c>
      <c r="Y20" s="336" t="str">
        <f>IF(NOT(ISBLANK(D20)),IF(OR(ISNUMBER(I20),ISNUMBER(O20),ISNUMBER(U20),ISNUMBER(X20)),AVERAGE(I20,O20,U20,X20),0),"")</f>
        <v/>
      </c>
      <c r="Z20" s="329"/>
      <c r="AA20" s="337"/>
      <c r="AB20" s="337"/>
      <c r="AC20" s="337"/>
      <c r="AD20" s="337"/>
      <c r="AE20" s="337"/>
      <c r="AF20" s="337"/>
      <c r="AG20" s="338"/>
      <c r="AH20" s="243"/>
    </row>
    <row r="21" spans="1:34" ht="23.25" x14ac:dyDescent="0.25">
      <c r="A21" s="311">
        <v>8</v>
      </c>
      <c r="B21" s="674"/>
      <c r="C21" s="675"/>
      <c r="D21" s="676"/>
      <c r="E21" s="677"/>
      <c r="F21" s="164" t="str">
        <f>IF(OR(ISNUMBER(SEARCH("N",$E21)),ISNUMBER(SEARCH("E",$E21))),1,"")</f>
        <v/>
      </c>
      <c r="G21" s="677"/>
      <c r="H21" s="51"/>
      <c r="I21" s="171" t="str">
        <f>IF(G21="S",IF(H21=3,1,IF(H21=2,0.6,IF(H21=1,0.3,0))),"")</f>
        <v/>
      </c>
      <c r="J21" s="51"/>
      <c r="K21" s="51"/>
      <c r="L21" s="51"/>
      <c r="M21" s="51"/>
      <c r="N21" s="51"/>
      <c r="O21" s="171" t="str">
        <f>IF(AND($F21=1,J21="S"),IF(K21=3,1,IF(K21=2,0.6,IF(K21=1,0.3,0))),"")</f>
        <v/>
      </c>
      <c r="P21" s="51"/>
      <c r="Q21" s="51"/>
      <c r="R21" s="51"/>
      <c r="S21" s="51"/>
      <c r="T21" s="51"/>
      <c r="U21" s="171" t="str">
        <f>IF(AND($F21=1,P21="S"),IF(Q21=3,1,IF(Q21=2,0.6,IF(Q21=1,0.3,0))),"")</f>
        <v/>
      </c>
      <c r="V21" s="335"/>
      <c r="W21" s="335"/>
      <c r="X21" s="171" t="str">
        <f>IF($F21=1,IF(V21=3,1,IF(V21=2,0.6,IF(V21=1,0.3,0))),"")</f>
        <v/>
      </c>
      <c r="Y21" s="336" t="str">
        <f>IF(NOT(ISBLANK(D21)),IF(OR(ISNUMBER(I21),ISNUMBER(O21),ISNUMBER(U21),ISNUMBER(X21)),AVERAGE(I21,O21,U21,X21),0),"")</f>
        <v/>
      </c>
      <c r="Z21" s="329"/>
      <c r="AA21" s="337"/>
      <c r="AB21" s="337"/>
      <c r="AC21" s="337"/>
      <c r="AD21" s="337"/>
      <c r="AE21" s="337"/>
      <c r="AF21" s="337"/>
      <c r="AG21" s="338"/>
      <c r="AH21" s="243"/>
    </row>
    <row r="22" spans="1:34" ht="23.25" x14ac:dyDescent="0.25">
      <c r="A22" s="311">
        <v>8</v>
      </c>
      <c r="B22" s="674"/>
      <c r="C22" s="675"/>
      <c r="D22" s="676"/>
      <c r="E22" s="677"/>
      <c r="F22" s="164" t="str">
        <f>IF(OR(ISNUMBER(SEARCH("N",$E22)),ISNUMBER(SEARCH("E",$E22))),1,"")</f>
        <v/>
      </c>
      <c r="G22" s="677"/>
      <c r="H22" s="51"/>
      <c r="I22" s="171" t="str">
        <f>IF(G22="S",IF(H22=3,1,IF(H22=2,0.6,IF(H22=1,0.3,0))),"")</f>
        <v/>
      </c>
      <c r="J22" s="51"/>
      <c r="K22" s="51"/>
      <c r="L22" s="51"/>
      <c r="M22" s="51"/>
      <c r="N22" s="51"/>
      <c r="O22" s="171" t="str">
        <f>IF(AND($F22=1,J22="S"),IF(K22=3,1,IF(K22=2,0.6,IF(K22=1,0.3,0))),"")</f>
        <v/>
      </c>
      <c r="P22" s="51"/>
      <c r="Q22" s="51"/>
      <c r="R22" s="51"/>
      <c r="S22" s="51"/>
      <c r="T22" s="51"/>
      <c r="U22" s="171" t="str">
        <f>IF(AND($F22=1,P22="S"),IF(Q22=3,1,IF(Q22=2,0.6,IF(Q22=1,0.3,0))),"")</f>
        <v/>
      </c>
      <c r="V22" s="335"/>
      <c r="W22" s="335"/>
      <c r="X22" s="171" t="str">
        <f>IF($F22=1,IF(V22=3,1,IF(V22=2,0.6,IF(V22=1,0.3,0))),"")</f>
        <v/>
      </c>
      <c r="Y22" s="336" t="str">
        <f>IF(NOT(ISBLANK(D22)),IF(OR(ISNUMBER(I22),ISNUMBER(O22),ISNUMBER(U22),ISNUMBER(X22)),AVERAGE(I22,O22,U22,X22),0),"")</f>
        <v/>
      </c>
      <c r="Z22" s="329"/>
      <c r="AA22" s="337"/>
      <c r="AB22" s="337"/>
      <c r="AC22" s="337"/>
      <c r="AD22" s="337"/>
      <c r="AE22" s="337"/>
      <c r="AF22" s="337"/>
      <c r="AG22" s="338"/>
      <c r="AH22" s="243"/>
    </row>
    <row r="23" spans="1:34" ht="15.75" x14ac:dyDescent="0.25">
      <c r="A23" s="311">
        <v>8</v>
      </c>
      <c r="B23" s="161"/>
      <c r="C23" s="333"/>
      <c r="D23" s="334"/>
      <c r="E23" s="51"/>
      <c r="F23" s="164" t="str">
        <f t="shared" si="1"/>
        <v/>
      </c>
      <c r="G23" s="51"/>
      <c r="H23" s="51"/>
      <c r="I23" s="171" t="str">
        <f>IF(G23="S",IF(H23=3,1,IF(H23=2,0.6,IF(H23=1,0.3,0))),"")</f>
        <v/>
      </c>
      <c r="J23" s="51"/>
      <c r="K23" s="51"/>
      <c r="L23" s="51"/>
      <c r="M23" s="51"/>
      <c r="N23" s="51"/>
      <c r="O23" s="171" t="str">
        <f>IF(AND($F23=1,J23="S"),IF(K23=3,1,IF(K23=2,0.6,IF(K23=1,0.3,0))),"")</f>
        <v/>
      </c>
      <c r="P23" s="51"/>
      <c r="Q23" s="51"/>
      <c r="R23" s="51"/>
      <c r="S23" s="51"/>
      <c r="T23" s="51"/>
      <c r="U23" s="171" t="str">
        <f>IF(AND($F23=1,P23="S"),IF(Q23=3,1,IF(Q23=2,0.6,IF(Q23=1,0.3,0))),"")</f>
        <v/>
      </c>
      <c r="V23" s="335"/>
      <c r="W23" s="335"/>
      <c r="X23" s="171" t="str">
        <f>IF($F23=1,IF(V23=3,1,IF(V23=2,0.6,IF(V23=1,0.3,0))),"")</f>
        <v/>
      </c>
      <c r="Y23" s="336" t="str">
        <f>IF(NOT(ISBLANK(D23)),IF(OR(ISNUMBER(I23),ISNUMBER(O23),ISNUMBER(U23),ISNUMBER(X23)),AVERAGE(I23,O23,U23,X23),0),"")</f>
        <v/>
      </c>
      <c r="Z23" s="329"/>
      <c r="AA23" s="337"/>
      <c r="AB23" s="337"/>
      <c r="AC23" s="337"/>
      <c r="AD23" s="337"/>
      <c r="AE23" s="337"/>
      <c r="AF23" s="337"/>
      <c r="AG23" s="338"/>
      <c r="AH23" s="243"/>
    </row>
    <row r="24" spans="1:34" ht="18.95" customHeight="1" x14ac:dyDescent="0.25">
      <c r="A24" s="311">
        <v>8</v>
      </c>
      <c r="B24" s="161"/>
      <c r="C24" s="333"/>
      <c r="D24" s="334"/>
      <c r="E24" s="51"/>
      <c r="F24" s="164" t="str">
        <f t="shared" si="1"/>
        <v/>
      </c>
      <c r="G24" s="51"/>
      <c r="H24" s="51"/>
      <c r="I24" s="171" t="str">
        <f t="shared" ref="I24:I25" si="11">IF(G24="S",IF(H24=3,1,IF(H24=2,0.6,IF(H24=1,0.3,0))),"")</f>
        <v/>
      </c>
      <c r="J24" s="51"/>
      <c r="K24" s="51"/>
      <c r="L24" s="51"/>
      <c r="M24" s="51"/>
      <c r="N24" s="51"/>
      <c r="O24" s="171" t="str">
        <f t="shared" ref="O24:O25" si="12">IF(AND($F24=1,J24="S"),IF(K24=3,1,IF(K24=2,0.6,IF(K24=1,0.3,0))),"")</f>
        <v/>
      </c>
      <c r="P24" s="51"/>
      <c r="Q24" s="51"/>
      <c r="R24" s="51"/>
      <c r="S24" s="51"/>
      <c r="T24" s="51"/>
      <c r="U24" s="171" t="str">
        <f t="shared" ref="U24:U25" si="13">IF(AND($F24=1,P24="S"),IF(Q24=3,1,IF(Q24=2,0.6,IF(Q24=1,0.3,0))),"")</f>
        <v/>
      </c>
      <c r="V24" s="335"/>
      <c r="W24" s="335"/>
      <c r="X24" s="171" t="str">
        <f t="shared" ref="X24:X25" si="14">IF($F24=1,IF(V24=3,1,IF(V24=2,0.6,IF(V24=1,0.3,0))),"")</f>
        <v/>
      </c>
      <c r="Y24" s="336" t="str">
        <f t="shared" ref="Y24:Y25" si="15">IF(NOT(ISBLANK(D24)),IF(OR(ISNUMBER(I24),ISNUMBER(O24),ISNUMBER(U24),ISNUMBER(X24)),AVERAGE(I24,O24,U24,X24),0),"")</f>
        <v/>
      </c>
      <c r="Z24" s="329"/>
      <c r="AA24" s="337"/>
      <c r="AB24" s="337"/>
      <c r="AC24" s="337"/>
      <c r="AD24" s="337"/>
      <c r="AE24" s="337"/>
      <c r="AF24" s="337"/>
      <c r="AG24" s="338"/>
      <c r="AH24" s="243"/>
    </row>
    <row r="25" spans="1:34" ht="21.95" customHeight="1" x14ac:dyDescent="0.25">
      <c r="A25" s="311">
        <v>8</v>
      </c>
      <c r="B25" s="161"/>
      <c r="C25" s="333"/>
      <c r="D25" s="334"/>
      <c r="E25" s="51"/>
      <c r="F25" s="164" t="str">
        <f t="shared" si="1"/>
        <v/>
      </c>
      <c r="G25" s="51"/>
      <c r="H25" s="51"/>
      <c r="I25" s="171" t="str">
        <f t="shared" si="11"/>
        <v/>
      </c>
      <c r="J25" s="51"/>
      <c r="K25" s="51"/>
      <c r="L25" s="51"/>
      <c r="M25" s="51"/>
      <c r="N25" s="51"/>
      <c r="O25" s="171" t="str">
        <f t="shared" si="12"/>
        <v/>
      </c>
      <c r="P25" s="51"/>
      <c r="Q25" s="51"/>
      <c r="R25" s="51"/>
      <c r="S25" s="51"/>
      <c r="T25" s="51"/>
      <c r="U25" s="171" t="str">
        <f t="shared" si="13"/>
        <v/>
      </c>
      <c r="V25" s="335"/>
      <c r="W25" s="335"/>
      <c r="X25" s="171" t="str">
        <f t="shared" si="14"/>
        <v/>
      </c>
      <c r="Y25" s="336" t="str">
        <f t="shared" si="15"/>
        <v/>
      </c>
      <c r="Z25" s="329"/>
      <c r="AA25" s="337"/>
      <c r="AB25" s="337"/>
      <c r="AC25" s="337"/>
      <c r="AD25" s="337"/>
      <c r="AE25" s="337"/>
      <c r="AF25" s="337"/>
      <c r="AG25" s="338"/>
      <c r="AH25" s="243"/>
    </row>
    <row r="26" spans="1:34" ht="20.100000000000001" customHeight="1" x14ac:dyDescent="0.25">
      <c r="A26" s="311">
        <v>8</v>
      </c>
      <c r="B26" s="161"/>
      <c r="C26" s="333"/>
      <c r="D26" s="334"/>
      <c r="E26" s="51"/>
      <c r="F26" s="164" t="str">
        <f t="shared" si="1"/>
        <v/>
      </c>
      <c r="G26" s="51"/>
      <c r="H26" s="51"/>
      <c r="I26" s="171" t="str">
        <f t="shared" si="2"/>
        <v/>
      </c>
      <c r="J26" s="51"/>
      <c r="K26" s="51"/>
      <c r="L26" s="51"/>
      <c r="M26" s="51"/>
      <c r="N26" s="51"/>
      <c r="O26" s="171" t="str">
        <f t="shared" si="3"/>
        <v/>
      </c>
      <c r="P26" s="51"/>
      <c r="Q26" s="51"/>
      <c r="R26" s="51"/>
      <c r="S26" s="51"/>
      <c r="T26" s="51"/>
      <c r="U26" s="171" t="str">
        <f t="shared" si="4"/>
        <v/>
      </c>
      <c r="V26" s="335"/>
      <c r="W26" s="335"/>
      <c r="X26" s="171" t="str">
        <f t="shared" si="5"/>
        <v/>
      </c>
      <c r="Y26" s="336" t="str">
        <f t="shared" si="0"/>
        <v/>
      </c>
      <c r="Z26" s="329"/>
      <c r="AA26" s="337"/>
      <c r="AB26" s="337"/>
      <c r="AC26" s="337"/>
      <c r="AD26" s="337"/>
      <c r="AE26" s="337"/>
      <c r="AF26" s="337"/>
      <c r="AG26" s="338"/>
      <c r="AH26" s="243"/>
    </row>
    <row r="27" spans="1:34" ht="15.75" x14ac:dyDescent="0.25">
      <c r="A27" s="311">
        <v>8</v>
      </c>
      <c r="B27" s="161"/>
      <c r="C27" s="333"/>
      <c r="D27" s="334"/>
      <c r="E27" s="51"/>
      <c r="F27" s="164" t="str">
        <f t="shared" si="1"/>
        <v/>
      </c>
      <c r="G27" s="51"/>
      <c r="H27" s="51"/>
      <c r="I27" s="171" t="str">
        <f t="shared" si="2"/>
        <v/>
      </c>
      <c r="J27" s="51"/>
      <c r="K27" s="51"/>
      <c r="L27" s="51"/>
      <c r="M27" s="51"/>
      <c r="N27" s="51"/>
      <c r="O27" s="171" t="str">
        <f t="shared" si="3"/>
        <v/>
      </c>
      <c r="P27" s="51"/>
      <c r="Q27" s="51"/>
      <c r="R27" s="51"/>
      <c r="S27" s="51"/>
      <c r="T27" s="51"/>
      <c r="U27" s="171" t="str">
        <f t="shared" si="4"/>
        <v/>
      </c>
      <c r="V27" s="335"/>
      <c r="W27" s="335"/>
      <c r="X27" s="171" t="str">
        <f t="shared" si="5"/>
        <v/>
      </c>
      <c r="Y27" s="336" t="str">
        <f t="shared" si="0"/>
        <v/>
      </c>
      <c r="Z27" s="329"/>
      <c r="AA27" s="337"/>
      <c r="AB27" s="337"/>
      <c r="AC27" s="337"/>
      <c r="AD27" s="337"/>
      <c r="AE27" s="337"/>
      <c r="AF27" s="337"/>
      <c r="AG27" s="338"/>
      <c r="AH27" s="243"/>
    </row>
    <row r="28" spans="1:34" ht="15.75" x14ac:dyDescent="0.25">
      <c r="A28" s="311">
        <v>8</v>
      </c>
      <c r="B28" s="161"/>
      <c r="C28" s="333"/>
      <c r="D28" s="334"/>
      <c r="E28" s="51"/>
      <c r="F28" s="164" t="str">
        <f t="shared" si="1"/>
        <v/>
      </c>
      <c r="G28" s="51"/>
      <c r="H28" s="51"/>
      <c r="I28" s="171" t="str">
        <f t="shared" si="2"/>
        <v/>
      </c>
      <c r="J28" s="51"/>
      <c r="K28" s="51"/>
      <c r="L28" s="51"/>
      <c r="M28" s="51"/>
      <c r="N28" s="51"/>
      <c r="O28" s="171" t="str">
        <f t="shared" si="3"/>
        <v/>
      </c>
      <c r="P28" s="51"/>
      <c r="Q28" s="51"/>
      <c r="R28" s="51"/>
      <c r="S28" s="51"/>
      <c r="T28" s="51"/>
      <c r="U28" s="171" t="str">
        <f t="shared" si="4"/>
        <v/>
      </c>
      <c r="V28" s="335"/>
      <c r="W28" s="335"/>
      <c r="X28" s="171" t="str">
        <f t="shared" si="5"/>
        <v/>
      </c>
      <c r="Y28" s="336" t="str">
        <f t="shared" si="0"/>
        <v/>
      </c>
      <c r="Z28" s="329"/>
      <c r="AA28" s="337"/>
      <c r="AB28" s="337"/>
      <c r="AC28" s="337"/>
      <c r="AD28" s="337"/>
      <c r="AE28" s="337"/>
      <c r="AF28" s="337"/>
      <c r="AG28" s="338"/>
      <c r="AH28" s="243"/>
    </row>
    <row r="29" spans="1:34" ht="15.75" x14ac:dyDescent="0.25">
      <c r="A29" s="311">
        <v>8</v>
      </c>
      <c r="B29" s="161"/>
      <c r="C29" s="333"/>
      <c r="D29" s="334"/>
      <c r="E29" s="51"/>
      <c r="F29" s="164" t="str">
        <f t="shared" si="1"/>
        <v/>
      </c>
      <c r="G29" s="51"/>
      <c r="H29" s="51"/>
      <c r="I29" s="171" t="str">
        <f t="shared" si="2"/>
        <v/>
      </c>
      <c r="J29" s="51"/>
      <c r="K29" s="51"/>
      <c r="L29" s="51"/>
      <c r="M29" s="51"/>
      <c r="N29" s="51"/>
      <c r="O29" s="171" t="str">
        <f t="shared" si="3"/>
        <v/>
      </c>
      <c r="P29" s="51"/>
      <c r="Q29" s="51"/>
      <c r="R29" s="51"/>
      <c r="S29" s="51"/>
      <c r="T29" s="51"/>
      <c r="U29" s="171" t="str">
        <f t="shared" si="4"/>
        <v/>
      </c>
      <c r="V29" s="335"/>
      <c r="W29" s="335"/>
      <c r="X29" s="171" t="str">
        <f t="shared" si="5"/>
        <v/>
      </c>
      <c r="Y29" s="336" t="str">
        <f t="shared" si="0"/>
        <v/>
      </c>
      <c r="Z29" s="329"/>
      <c r="AA29" s="337"/>
      <c r="AB29" s="337"/>
      <c r="AC29" s="337"/>
      <c r="AD29" s="337"/>
      <c r="AE29" s="337"/>
      <c r="AF29" s="337"/>
      <c r="AG29" s="338"/>
      <c r="AH29" s="243"/>
    </row>
    <row r="30" spans="1:34" ht="15.75" x14ac:dyDescent="0.25">
      <c r="A30" s="311">
        <v>8</v>
      </c>
      <c r="B30" s="161"/>
      <c r="C30" s="333"/>
      <c r="D30" s="334"/>
      <c r="E30" s="51"/>
      <c r="F30" s="164" t="str">
        <f t="shared" si="1"/>
        <v/>
      </c>
      <c r="G30" s="51"/>
      <c r="H30" s="51"/>
      <c r="I30" s="171" t="str">
        <f t="shared" si="2"/>
        <v/>
      </c>
      <c r="J30" s="51"/>
      <c r="K30" s="51"/>
      <c r="L30" s="51"/>
      <c r="M30" s="51"/>
      <c r="N30" s="51"/>
      <c r="O30" s="171" t="str">
        <f t="shared" si="3"/>
        <v/>
      </c>
      <c r="P30" s="51"/>
      <c r="Q30" s="51"/>
      <c r="R30" s="51"/>
      <c r="S30" s="51"/>
      <c r="T30" s="51"/>
      <c r="U30" s="171" t="str">
        <f t="shared" si="4"/>
        <v/>
      </c>
      <c r="V30" s="335"/>
      <c r="W30" s="335"/>
      <c r="X30" s="171" t="str">
        <f t="shared" si="5"/>
        <v/>
      </c>
      <c r="Y30" s="336" t="str">
        <f t="shared" si="0"/>
        <v/>
      </c>
      <c r="Z30" s="329"/>
      <c r="AA30" s="337"/>
      <c r="AB30" s="337"/>
      <c r="AC30" s="337"/>
      <c r="AD30" s="337"/>
      <c r="AE30" s="337"/>
      <c r="AF30" s="337"/>
      <c r="AG30" s="338"/>
      <c r="AH30" s="243"/>
    </row>
    <row r="31" spans="1:34" ht="15.75" x14ac:dyDescent="0.25">
      <c r="A31" s="311">
        <v>8</v>
      </c>
      <c r="B31" s="161"/>
      <c r="C31" s="333"/>
      <c r="D31" s="334"/>
      <c r="E31" s="51"/>
      <c r="F31" s="164" t="str">
        <f t="shared" si="1"/>
        <v/>
      </c>
      <c r="G31" s="51"/>
      <c r="H31" s="51"/>
      <c r="I31" s="171" t="str">
        <f t="shared" si="2"/>
        <v/>
      </c>
      <c r="J31" s="51"/>
      <c r="K31" s="51"/>
      <c r="L31" s="51"/>
      <c r="M31" s="51"/>
      <c r="N31" s="51"/>
      <c r="O31" s="171" t="str">
        <f t="shared" si="3"/>
        <v/>
      </c>
      <c r="P31" s="51"/>
      <c r="Q31" s="51"/>
      <c r="R31" s="51"/>
      <c r="S31" s="51"/>
      <c r="T31" s="51"/>
      <c r="U31" s="171" t="str">
        <f t="shared" si="4"/>
        <v/>
      </c>
      <c r="V31" s="335"/>
      <c r="W31" s="335"/>
      <c r="X31" s="171" t="str">
        <f t="shared" si="5"/>
        <v/>
      </c>
      <c r="Y31" s="336" t="str">
        <f t="shared" si="0"/>
        <v/>
      </c>
      <c r="Z31" s="329"/>
      <c r="AA31" s="337"/>
      <c r="AB31" s="337"/>
      <c r="AC31" s="337"/>
      <c r="AD31" s="337"/>
      <c r="AE31" s="337"/>
      <c r="AF31" s="337"/>
      <c r="AG31" s="338"/>
      <c r="AH31" s="243"/>
    </row>
    <row r="32" spans="1:34" ht="15.75" x14ac:dyDescent="0.25">
      <c r="A32" s="311">
        <v>8</v>
      </c>
      <c r="B32" s="161"/>
      <c r="C32" s="333"/>
      <c r="D32" s="334"/>
      <c r="E32" s="51"/>
      <c r="F32" s="164" t="str">
        <f t="shared" si="1"/>
        <v/>
      </c>
      <c r="G32" s="51"/>
      <c r="H32" s="51"/>
      <c r="I32" s="171" t="str">
        <f t="shared" ref="I32:I41" si="16">IF(G32="S",IF(H32=3,1,IF(H32=2,0.6,IF(H32=1,0.3,0))),"")</f>
        <v/>
      </c>
      <c r="J32" s="51"/>
      <c r="K32" s="51"/>
      <c r="L32" s="51"/>
      <c r="M32" s="51"/>
      <c r="N32" s="51"/>
      <c r="O32" s="171" t="str">
        <f t="shared" ref="O32:O41" si="17">IF(AND($F32=1,J32="S"),IF(K32=3,1,IF(K32=2,0.6,IF(K32=1,0.3,0))),"")</f>
        <v/>
      </c>
      <c r="P32" s="51"/>
      <c r="Q32" s="51"/>
      <c r="R32" s="51"/>
      <c r="S32" s="51"/>
      <c r="T32" s="51"/>
      <c r="U32" s="171" t="str">
        <f t="shared" ref="U32:U41" si="18">IF(AND($F32=1,P32="S"),IF(Q32=3,1,IF(Q32=2,0.6,IF(Q32=1,0.3,0))),"")</f>
        <v/>
      </c>
      <c r="V32" s="335"/>
      <c r="W32" s="335"/>
      <c r="X32" s="171" t="str">
        <f t="shared" ref="X32:X41" si="19">IF($F32=1,IF(V32=3,1,IF(V32=2,0.6,IF(V32=1,0.3,0))),"")</f>
        <v/>
      </c>
      <c r="Y32" s="336" t="str">
        <f t="shared" ref="Y32:Y41" si="20">IF(NOT(ISBLANK(D32)),IF(OR(ISNUMBER(I32),ISNUMBER(O32),ISNUMBER(U32),ISNUMBER(X32)),AVERAGE(I32,O32,U32,X32),0),"")</f>
        <v/>
      </c>
      <c r="Z32" s="329"/>
      <c r="AA32" s="337"/>
      <c r="AB32" s="337"/>
      <c r="AC32" s="337"/>
      <c r="AD32" s="337"/>
      <c r="AE32" s="337"/>
      <c r="AF32" s="337"/>
      <c r="AG32" s="338"/>
      <c r="AH32" s="243"/>
    </row>
    <row r="33" spans="1:34" ht="15.75" x14ac:dyDescent="0.25">
      <c r="A33" s="311">
        <v>8</v>
      </c>
      <c r="B33" s="161"/>
      <c r="C33" s="333"/>
      <c r="D33" s="334"/>
      <c r="E33" s="51"/>
      <c r="F33" s="164" t="str">
        <f t="shared" si="1"/>
        <v/>
      </c>
      <c r="G33" s="51"/>
      <c r="H33" s="51"/>
      <c r="I33" s="171" t="str">
        <f t="shared" si="16"/>
        <v/>
      </c>
      <c r="J33" s="51"/>
      <c r="K33" s="51"/>
      <c r="L33" s="51"/>
      <c r="M33" s="51"/>
      <c r="N33" s="51"/>
      <c r="O33" s="171" t="str">
        <f t="shared" si="17"/>
        <v/>
      </c>
      <c r="P33" s="51"/>
      <c r="Q33" s="51"/>
      <c r="R33" s="51"/>
      <c r="S33" s="51"/>
      <c r="T33" s="51"/>
      <c r="U33" s="171" t="str">
        <f t="shared" si="18"/>
        <v/>
      </c>
      <c r="V33" s="335"/>
      <c r="W33" s="335"/>
      <c r="X33" s="171" t="str">
        <f t="shared" si="19"/>
        <v/>
      </c>
      <c r="Y33" s="336" t="str">
        <f t="shared" si="20"/>
        <v/>
      </c>
      <c r="Z33" s="329"/>
      <c r="AA33" s="337"/>
      <c r="AB33" s="337"/>
      <c r="AC33" s="337"/>
      <c r="AD33" s="337"/>
      <c r="AE33" s="337"/>
      <c r="AF33" s="337"/>
      <c r="AG33" s="338"/>
      <c r="AH33" s="243"/>
    </row>
    <row r="34" spans="1:34" ht="15.75" x14ac:dyDescent="0.25">
      <c r="A34" s="311">
        <v>8</v>
      </c>
      <c r="B34" s="161"/>
      <c r="C34" s="333"/>
      <c r="D34" s="334"/>
      <c r="E34" s="51"/>
      <c r="F34" s="164" t="str">
        <f t="shared" si="1"/>
        <v/>
      </c>
      <c r="G34" s="51"/>
      <c r="H34" s="51"/>
      <c r="I34" s="171" t="str">
        <f t="shared" si="16"/>
        <v/>
      </c>
      <c r="J34" s="51"/>
      <c r="K34" s="51"/>
      <c r="L34" s="51"/>
      <c r="M34" s="51"/>
      <c r="N34" s="51"/>
      <c r="O34" s="171" t="str">
        <f t="shared" si="17"/>
        <v/>
      </c>
      <c r="P34" s="51"/>
      <c r="Q34" s="51"/>
      <c r="R34" s="51"/>
      <c r="S34" s="51"/>
      <c r="T34" s="51"/>
      <c r="U34" s="171" t="str">
        <f t="shared" si="18"/>
        <v/>
      </c>
      <c r="V34" s="335"/>
      <c r="W34" s="335"/>
      <c r="X34" s="171" t="str">
        <f t="shared" si="19"/>
        <v/>
      </c>
      <c r="Y34" s="336" t="str">
        <f t="shared" si="20"/>
        <v/>
      </c>
      <c r="Z34" s="329"/>
      <c r="AA34" s="337"/>
      <c r="AB34" s="337"/>
      <c r="AC34" s="337"/>
      <c r="AD34" s="337"/>
      <c r="AE34" s="337"/>
      <c r="AF34" s="337"/>
      <c r="AG34" s="338"/>
      <c r="AH34" s="243"/>
    </row>
    <row r="35" spans="1:34" ht="15.75" x14ac:dyDescent="0.25">
      <c r="A35" s="311">
        <v>8</v>
      </c>
      <c r="B35" s="161"/>
      <c r="C35" s="333"/>
      <c r="D35" s="334"/>
      <c r="E35" s="51"/>
      <c r="F35" s="164" t="str">
        <f t="shared" si="1"/>
        <v/>
      </c>
      <c r="G35" s="51"/>
      <c r="H35" s="51"/>
      <c r="I35" s="171" t="str">
        <f t="shared" si="16"/>
        <v/>
      </c>
      <c r="J35" s="51"/>
      <c r="K35" s="51"/>
      <c r="L35" s="51"/>
      <c r="M35" s="51"/>
      <c r="N35" s="51"/>
      <c r="O35" s="171" t="str">
        <f t="shared" si="17"/>
        <v/>
      </c>
      <c r="P35" s="51"/>
      <c r="Q35" s="51"/>
      <c r="R35" s="51"/>
      <c r="S35" s="51"/>
      <c r="T35" s="51"/>
      <c r="U35" s="171" t="str">
        <f t="shared" si="18"/>
        <v/>
      </c>
      <c r="V35" s="335"/>
      <c r="W35" s="335"/>
      <c r="X35" s="171" t="str">
        <f t="shared" si="19"/>
        <v/>
      </c>
      <c r="Y35" s="336" t="str">
        <f t="shared" si="20"/>
        <v/>
      </c>
      <c r="Z35" s="329"/>
      <c r="AA35" s="337"/>
      <c r="AB35" s="337"/>
      <c r="AC35" s="337"/>
      <c r="AD35" s="337"/>
      <c r="AE35" s="337"/>
      <c r="AF35" s="337"/>
      <c r="AG35" s="338"/>
      <c r="AH35" s="243"/>
    </row>
    <row r="36" spans="1:34" ht="15.75" x14ac:dyDescent="0.25">
      <c r="A36" s="311">
        <v>8</v>
      </c>
      <c r="B36" s="161"/>
      <c r="C36" s="333"/>
      <c r="D36" s="334"/>
      <c r="E36" s="51"/>
      <c r="F36" s="164" t="str">
        <f t="shared" si="1"/>
        <v/>
      </c>
      <c r="G36" s="51"/>
      <c r="H36" s="51"/>
      <c r="I36" s="171" t="str">
        <f t="shared" si="16"/>
        <v/>
      </c>
      <c r="J36" s="51"/>
      <c r="K36" s="51"/>
      <c r="L36" s="51"/>
      <c r="M36" s="51"/>
      <c r="N36" s="51"/>
      <c r="O36" s="171" t="str">
        <f t="shared" si="17"/>
        <v/>
      </c>
      <c r="P36" s="51"/>
      <c r="Q36" s="51"/>
      <c r="R36" s="51"/>
      <c r="S36" s="51"/>
      <c r="T36" s="51"/>
      <c r="U36" s="171" t="str">
        <f t="shared" si="18"/>
        <v/>
      </c>
      <c r="V36" s="335"/>
      <c r="W36" s="335"/>
      <c r="X36" s="171" t="str">
        <f t="shared" si="19"/>
        <v/>
      </c>
      <c r="Y36" s="336" t="str">
        <f t="shared" si="20"/>
        <v/>
      </c>
      <c r="Z36" s="329"/>
      <c r="AA36" s="337"/>
      <c r="AB36" s="337"/>
      <c r="AC36" s="337"/>
      <c r="AD36" s="337"/>
      <c r="AE36" s="337"/>
      <c r="AF36" s="337"/>
      <c r="AG36" s="338"/>
      <c r="AH36" s="243"/>
    </row>
    <row r="37" spans="1:34" ht="15.75" x14ac:dyDescent="0.25">
      <c r="A37" s="311">
        <v>8</v>
      </c>
      <c r="B37" s="161"/>
      <c r="C37" s="333"/>
      <c r="D37" s="334"/>
      <c r="E37" s="51"/>
      <c r="F37" s="164" t="str">
        <f t="shared" si="1"/>
        <v/>
      </c>
      <c r="G37" s="51"/>
      <c r="H37" s="51"/>
      <c r="I37" s="171" t="str">
        <f t="shared" si="16"/>
        <v/>
      </c>
      <c r="J37" s="51"/>
      <c r="K37" s="51"/>
      <c r="L37" s="51"/>
      <c r="M37" s="51"/>
      <c r="N37" s="51"/>
      <c r="O37" s="171" t="str">
        <f t="shared" si="17"/>
        <v/>
      </c>
      <c r="P37" s="51"/>
      <c r="Q37" s="51"/>
      <c r="R37" s="51"/>
      <c r="S37" s="51"/>
      <c r="T37" s="51"/>
      <c r="U37" s="171" t="str">
        <f t="shared" si="18"/>
        <v/>
      </c>
      <c r="V37" s="335"/>
      <c r="W37" s="335"/>
      <c r="X37" s="171" t="str">
        <f t="shared" si="19"/>
        <v/>
      </c>
      <c r="Y37" s="336" t="str">
        <f t="shared" si="20"/>
        <v/>
      </c>
      <c r="Z37" s="329"/>
      <c r="AA37" s="337"/>
      <c r="AB37" s="337"/>
      <c r="AC37" s="337"/>
      <c r="AD37" s="337"/>
      <c r="AE37" s="337"/>
      <c r="AF37" s="337"/>
      <c r="AG37" s="338"/>
      <c r="AH37" s="243"/>
    </row>
    <row r="38" spans="1:34" ht="15.75" x14ac:dyDescent="0.25">
      <c r="A38" s="311">
        <v>8</v>
      </c>
      <c r="B38" s="161"/>
      <c r="C38" s="333"/>
      <c r="D38" s="334"/>
      <c r="E38" s="51"/>
      <c r="F38" s="164" t="str">
        <f t="shared" si="1"/>
        <v/>
      </c>
      <c r="G38" s="51"/>
      <c r="H38" s="51"/>
      <c r="I38" s="171" t="str">
        <f t="shared" si="16"/>
        <v/>
      </c>
      <c r="J38" s="51"/>
      <c r="K38" s="51"/>
      <c r="L38" s="51"/>
      <c r="M38" s="51"/>
      <c r="N38" s="51"/>
      <c r="O38" s="171" t="str">
        <f t="shared" si="17"/>
        <v/>
      </c>
      <c r="P38" s="51"/>
      <c r="Q38" s="51"/>
      <c r="R38" s="51"/>
      <c r="S38" s="51"/>
      <c r="T38" s="51"/>
      <c r="U38" s="171" t="str">
        <f t="shared" si="18"/>
        <v/>
      </c>
      <c r="V38" s="335"/>
      <c r="W38" s="335"/>
      <c r="X38" s="171" t="str">
        <f t="shared" si="19"/>
        <v/>
      </c>
      <c r="Y38" s="336" t="str">
        <f t="shared" si="20"/>
        <v/>
      </c>
      <c r="Z38" s="329"/>
      <c r="AA38" s="337"/>
      <c r="AB38" s="337"/>
      <c r="AC38" s="337"/>
      <c r="AD38" s="337"/>
      <c r="AE38" s="337"/>
      <c r="AF38" s="337"/>
      <c r="AG38" s="338"/>
      <c r="AH38" s="243"/>
    </row>
    <row r="39" spans="1:34" ht="15.75" x14ac:dyDescent="0.25">
      <c r="A39" s="311">
        <v>8</v>
      </c>
      <c r="B39" s="161"/>
      <c r="C39" s="333"/>
      <c r="D39" s="334"/>
      <c r="E39" s="51"/>
      <c r="F39" s="164" t="str">
        <f t="shared" si="1"/>
        <v/>
      </c>
      <c r="G39" s="51"/>
      <c r="H39" s="51"/>
      <c r="I39" s="171" t="str">
        <f t="shared" si="16"/>
        <v/>
      </c>
      <c r="J39" s="51"/>
      <c r="K39" s="51"/>
      <c r="L39" s="51"/>
      <c r="M39" s="51"/>
      <c r="N39" s="51"/>
      <c r="O39" s="171" t="str">
        <f t="shared" si="17"/>
        <v/>
      </c>
      <c r="P39" s="51"/>
      <c r="Q39" s="51"/>
      <c r="R39" s="51"/>
      <c r="S39" s="51"/>
      <c r="T39" s="51"/>
      <c r="U39" s="171" t="str">
        <f t="shared" si="18"/>
        <v/>
      </c>
      <c r="V39" s="335"/>
      <c r="W39" s="335"/>
      <c r="X39" s="171" t="str">
        <f t="shared" si="19"/>
        <v/>
      </c>
      <c r="Y39" s="336" t="str">
        <f t="shared" si="20"/>
        <v/>
      </c>
      <c r="Z39" s="329"/>
      <c r="AA39" s="337"/>
      <c r="AB39" s="337"/>
      <c r="AC39" s="337"/>
      <c r="AD39" s="337"/>
      <c r="AE39" s="337"/>
      <c r="AF39" s="337"/>
      <c r="AG39" s="338"/>
      <c r="AH39" s="243"/>
    </row>
    <row r="40" spans="1:34" ht="15.75" x14ac:dyDescent="0.25">
      <c r="A40" s="311">
        <v>8</v>
      </c>
      <c r="B40" s="161"/>
      <c r="C40" s="333"/>
      <c r="D40" s="334"/>
      <c r="E40" s="51"/>
      <c r="F40" s="164" t="str">
        <f t="shared" si="1"/>
        <v/>
      </c>
      <c r="G40" s="51"/>
      <c r="H40" s="51"/>
      <c r="I40" s="171" t="str">
        <f t="shared" si="16"/>
        <v/>
      </c>
      <c r="J40" s="51"/>
      <c r="K40" s="51"/>
      <c r="L40" s="51"/>
      <c r="M40" s="51"/>
      <c r="N40" s="51"/>
      <c r="O40" s="171" t="str">
        <f t="shared" si="17"/>
        <v/>
      </c>
      <c r="P40" s="51"/>
      <c r="Q40" s="51"/>
      <c r="R40" s="51"/>
      <c r="S40" s="51"/>
      <c r="T40" s="51"/>
      <c r="U40" s="171" t="str">
        <f t="shared" si="18"/>
        <v/>
      </c>
      <c r="V40" s="335"/>
      <c r="W40" s="335"/>
      <c r="X40" s="171" t="str">
        <f t="shared" si="19"/>
        <v/>
      </c>
      <c r="Y40" s="336" t="str">
        <f t="shared" si="20"/>
        <v/>
      </c>
      <c r="Z40" s="329"/>
      <c r="AA40" s="337"/>
      <c r="AB40" s="337"/>
      <c r="AC40" s="337"/>
      <c r="AD40" s="337"/>
      <c r="AE40" s="337"/>
      <c r="AF40" s="337"/>
      <c r="AG40" s="338"/>
      <c r="AH40" s="243"/>
    </row>
    <row r="41" spans="1:34" ht="15.75" x14ac:dyDescent="0.25">
      <c r="A41" s="311">
        <v>8</v>
      </c>
      <c r="B41" s="161"/>
      <c r="C41" s="333"/>
      <c r="D41" s="334"/>
      <c r="E41" s="51"/>
      <c r="F41" s="164" t="str">
        <f t="shared" si="1"/>
        <v/>
      </c>
      <c r="G41" s="51"/>
      <c r="H41" s="51"/>
      <c r="I41" s="171" t="str">
        <f t="shared" si="16"/>
        <v/>
      </c>
      <c r="J41" s="51"/>
      <c r="K41" s="51"/>
      <c r="L41" s="51"/>
      <c r="M41" s="51"/>
      <c r="N41" s="51"/>
      <c r="O41" s="171" t="str">
        <f t="shared" si="17"/>
        <v/>
      </c>
      <c r="P41" s="51"/>
      <c r="Q41" s="51"/>
      <c r="R41" s="51"/>
      <c r="S41" s="51"/>
      <c r="T41" s="51"/>
      <c r="U41" s="171" t="str">
        <f t="shared" si="18"/>
        <v/>
      </c>
      <c r="V41" s="335"/>
      <c r="W41" s="335"/>
      <c r="X41" s="171" t="str">
        <f t="shared" si="19"/>
        <v/>
      </c>
      <c r="Y41" s="336" t="str">
        <f t="shared" si="20"/>
        <v/>
      </c>
      <c r="Z41" s="329"/>
      <c r="AA41" s="337"/>
      <c r="AB41" s="337"/>
      <c r="AC41" s="337"/>
      <c r="AD41" s="337"/>
      <c r="AE41" s="337"/>
      <c r="AF41" s="337"/>
      <c r="AG41" s="338"/>
      <c r="AH41" s="243"/>
    </row>
    <row r="42" spans="1:34" ht="15.75" x14ac:dyDescent="0.25">
      <c r="A42" s="311">
        <v>8</v>
      </c>
      <c r="B42" s="161"/>
      <c r="C42" s="333"/>
      <c r="D42" s="334"/>
      <c r="E42" s="51"/>
      <c r="F42" s="164" t="str">
        <f t="shared" si="1"/>
        <v/>
      </c>
      <c r="G42" s="51"/>
      <c r="H42" s="51"/>
      <c r="I42" s="171" t="str">
        <f t="shared" ref="I42:I46" si="21">IF(G42="S",IF(H42=3,1,IF(H42=2,0.6,IF(H42=1,0.3,0))),"")</f>
        <v/>
      </c>
      <c r="J42" s="51"/>
      <c r="K42" s="51"/>
      <c r="L42" s="51"/>
      <c r="M42" s="51"/>
      <c r="N42" s="51"/>
      <c r="O42" s="171" t="str">
        <f t="shared" ref="O42:O46" si="22">IF(AND($F42=1,J42="S"),IF(K42=3,1,IF(K42=2,0.6,IF(K42=1,0.3,0))),"")</f>
        <v/>
      </c>
      <c r="P42" s="51"/>
      <c r="Q42" s="51"/>
      <c r="R42" s="51"/>
      <c r="S42" s="51"/>
      <c r="T42" s="51"/>
      <c r="U42" s="171" t="str">
        <f t="shared" ref="U42:U46" si="23">IF(AND($F42=1,P42="S"),IF(Q42=3,1,IF(Q42=2,0.6,IF(Q42=1,0.3,0))),"")</f>
        <v/>
      </c>
      <c r="V42" s="335"/>
      <c r="W42" s="335"/>
      <c r="X42" s="171" t="str">
        <f t="shared" ref="X42:X46" si="24">IF($F42=1,IF(V42=3,1,IF(V42=2,0.6,IF(V42=1,0.3,0))),"")</f>
        <v/>
      </c>
      <c r="Y42" s="336" t="str">
        <f t="shared" ref="Y42:Y46" si="25">IF(NOT(ISBLANK(D42)),IF(OR(ISNUMBER(I42),ISNUMBER(O42),ISNUMBER(U42),ISNUMBER(X42)),AVERAGE(I42,O42,U42,X42),0),"")</f>
        <v/>
      </c>
      <c r="Z42" s="329"/>
      <c r="AA42" s="337"/>
      <c r="AB42" s="337"/>
      <c r="AC42" s="337"/>
      <c r="AD42" s="337"/>
      <c r="AE42" s="337"/>
      <c r="AF42" s="337"/>
      <c r="AG42" s="338"/>
      <c r="AH42" s="243"/>
    </row>
    <row r="43" spans="1:34" ht="15.75" x14ac:dyDescent="0.25">
      <c r="A43" s="311">
        <v>8</v>
      </c>
      <c r="B43" s="161"/>
      <c r="C43" s="333"/>
      <c r="D43" s="334"/>
      <c r="E43" s="51"/>
      <c r="F43" s="164" t="str">
        <f t="shared" si="1"/>
        <v/>
      </c>
      <c r="G43" s="51"/>
      <c r="H43" s="51"/>
      <c r="I43" s="171" t="str">
        <f t="shared" si="21"/>
        <v/>
      </c>
      <c r="J43" s="51"/>
      <c r="K43" s="51"/>
      <c r="L43" s="51"/>
      <c r="M43" s="51"/>
      <c r="N43" s="51"/>
      <c r="O43" s="171" t="str">
        <f t="shared" si="22"/>
        <v/>
      </c>
      <c r="P43" s="51"/>
      <c r="Q43" s="51"/>
      <c r="R43" s="51"/>
      <c r="S43" s="51"/>
      <c r="T43" s="51"/>
      <c r="U43" s="171" t="str">
        <f t="shared" si="23"/>
        <v/>
      </c>
      <c r="V43" s="335"/>
      <c r="W43" s="335"/>
      <c r="X43" s="171" t="str">
        <f t="shared" si="24"/>
        <v/>
      </c>
      <c r="Y43" s="336" t="str">
        <f t="shared" si="25"/>
        <v/>
      </c>
      <c r="Z43" s="329"/>
      <c r="AA43" s="337"/>
      <c r="AB43" s="337"/>
      <c r="AC43" s="337"/>
      <c r="AD43" s="337"/>
      <c r="AE43" s="337"/>
      <c r="AF43" s="337"/>
      <c r="AG43" s="338"/>
      <c r="AH43" s="243"/>
    </row>
    <row r="44" spans="1:34" ht="15.75" x14ac:dyDescent="0.25">
      <c r="A44" s="311">
        <v>8</v>
      </c>
      <c r="B44" s="161"/>
      <c r="C44" s="333"/>
      <c r="D44" s="334"/>
      <c r="E44" s="51"/>
      <c r="F44" s="164" t="str">
        <f t="shared" si="1"/>
        <v/>
      </c>
      <c r="G44" s="51"/>
      <c r="H44" s="51"/>
      <c r="I44" s="171" t="str">
        <f t="shared" si="21"/>
        <v/>
      </c>
      <c r="J44" s="51"/>
      <c r="K44" s="51"/>
      <c r="L44" s="51"/>
      <c r="M44" s="51"/>
      <c r="N44" s="51"/>
      <c r="O44" s="171" t="str">
        <f t="shared" si="22"/>
        <v/>
      </c>
      <c r="P44" s="51"/>
      <c r="Q44" s="51"/>
      <c r="R44" s="51"/>
      <c r="S44" s="51"/>
      <c r="T44" s="51"/>
      <c r="U44" s="171" t="str">
        <f t="shared" si="23"/>
        <v/>
      </c>
      <c r="V44" s="335"/>
      <c r="W44" s="335"/>
      <c r="X44" s="171" t="str">
        <f t="shared" si="24"/>
        <v/>
      </c>
      <c r="Y44" s="336" t="str">
        <f t="shared" si="25"/>
        <v/>
      </c>
      <c r="Z44" s="329"/>
      <c r="AA44" s="337"/>
      <c r="AB44" s="337"/>
      <c r="AC44" s="337"/>
      <c r="AD44" s="337"/>
      <c r="AE44" s="337"/>
      <c r="AF44" s="337"/>
      <c r="AG44" s="338"/>
      <c r="AH44" s="243"/>
    </row>
    <row r="45" spans="1:34" ht="15.75" x14ac:dyDescent="0.25">
      <c r="A45" s="311">
        <v>8</v>
      </c>
      <c r="B45" s="161"/>
      <c r="C45" s="333"/>
      <c r="D45" s="334"/>
      <c r="E45" s="51"/>
      <c r="F45" s="164" t="str">
        <f t="shared" si="1"/>
        <v/>
      </c>
      <c r="G45" s="51"/>
      <c r="H45" s="51"/>
      <c r="I45" s="171" t="str">
        <f t="shared" si="21"/>
        <v/>
      </c>
      <c r="J45" s="51"/>
      <c r="K45" s="51"/>
      <c r="L45" s="51"/>
      <c r="M45" s="51"/>
      <c r="N45" s="51"/>
      <c r="O45" s="171" t="str">
        <f t="shared" si="22"/>
        <v/>
      </c>
      <c r="P45" s="51"/>
      <c r="Q45" s="51"/>
      <c r="R45" s="51"/>
      <c r="S45" s="51"/>
      <c r="T45" s="51"/>
      <c r="U45" s="171" t="str">
        <f t="shared" si="23"/>
        <v/>
      </c>
      <c r="V45" s="335"/>
      <c r="W45" s="335"/>
      <c r="X45" s="171" t="str">
        <f t="shared" si="24"/>
        <v/>
      </c>
      <c r="Y45" s="336" t="str">
        <f t="shared" si="25"/>
        <v/>
      </c>
      <c r="Z45" s="329"/>
      <c r="AA45" s="337"/>
      <c r="AB45" s="337"/>
      <c r="AC45" s="337"/>
      <c r="AD45" s="337"/>
      <c r="AE45" s="337"/>
      <c r="AF45" s="337"/>
      <c r="AG45" s="338"/>
      <c r="AH45" s="243"/>
    </row>
    <row r="46" spans="1:34" ht="15.75" x14ac:dyDescent="0.25">
      <c r="A46" s="311">
        <v>8</v>
      </c>
      <c r="B46" s="161"/>
      <c r="C46" s="333"/>
      <c r="D46" s="334"/>
      <c r="E46" s="51"/>
      <c r="F46" s="164" t="str">
        <f t="shared" si="1"/>
        <v/>
      </c>
      <c r="G46" s="51"/>
      <c r="H46" s="51"/>
      <c r="I46" s="171" t="str">
        <f t="shared" si="21"/>
        <v/>
      </c>
      <c r="J46" s="51"/>
      <c r="K46" s="51"/>
      <c r="L46" s="51"/>
      <c r="M46" s="51"/>
      <c r="N46" s="51"/>
      <c r="O46" s="171" t="str">
        <f t="shared" si="22"/>
        <v/>
      </c>
      <c r="P46" s="51"/>
      <c r="Q46" s="51"/>
      <c r="R46" s="51"/>
      <c r="S46" s="51"/>
      <c r="T46" s="51"/>
      <c r="U46" s="171" t="str">
        <f t="shared" si="23"/>
        <v/>
      </c>
      <c r="V46" s="335"/>
      <c r="W46" s="335"/>
      <c r="X46" s="171" t="str">
        <f t="shared" si="24"/>
        <v/>
      </c>
      <c r="Y46" s="336" t="str">
        <f t="shared" si="25"/>
        <v/>
      </c>
      <c r="Z46" s="329"/>
      <c r="AA46" s="337"/>
      <c r="AB46" s="337"/>
      <c r="AC46" s="337"/>
      <c r="AD46" s="337"/>
      <c r="AE46" s="337"/>
      <c r="AF46" s="337"/>
      <c r="AG46" s="338"/>
      <c r="AH46" s="243"/>
    </row>
    <row r="47" spans="1:34" ht="6.6" customHeight="1" x14ac:dyDescent="0.25">
      <c r="A47" s="339"/>
      <c r="B47" s="149"/>
      <c r="C47" s="326"/>
      <c r="D47" s="326"/>
      <c r="E47" s="150"/>
      <c r="F47" s="340"/>
      <c r="G47" s="162"/>
      <c r="H47" s="162"/>
      <c r="I47" s="171" t="str">
        <f t="shared" si="2"/>
        <v/>
      </c>
      <c r="J47" s="162"/>
      <c r="K47" s="162"/>
      <c r="L47" s="163"/>
      <c r="M47" s="162"/>
      <c r="N47" s="162"/>
      <c r="O47" s="171" t="str">
        <f t="shared" si="3"/>
        <v/>
      </c>
      <c r="P47" s="150"/>
      <c r="Q47" s="150"/>
      <c r="R47" s="150"/>
      <c r="S47" s="150"/>
      <c r="T47" s="150"/>
      <c r="U47" s="171" t="str">
        <f t="shared" si="4"/>
        <v/>
      </c>
      <c r="V47" s="150"/>
      <c r="W47" s="150"/>
      <c r="X47" s="171" t="str">
        <f t="shared" si="5"/>
        <v/>
      </c>
      <c r="Y47" s="330"/>
      <c r="Z47" s="329"/>
      <c r="AA47" s="330"/>
      <c r="AB47" s="330"/>
      <c r="AC47" s="330"/>
      <c r="AD47" s="330"/>
      <c r="AE47" s="330"/>
      <c r="AF47" s="330"/>
      <c r="AG47" s="332"/>
      <c r="AH47" s="243"/>
    </row>
    <row r="48" spans="1:34" ht="15.95" customHeight="1" x14ac:dyDescent="0.25">
      <c r="A48" s="339"/>
      <c r="B48" s="188">
        <f>'Quadro Geral'!D34</f>
        <v>6</v>
      </c>
      <c r="C48" s="186" t="s">
        <v>839</v>
      </c>
      <c r="D48" s="187"/>
      <c r="E48" s="180"/>
      <c r="F48" s="341"/>
      <c r="G48" s="180"/>
      <c r="H48" s="181"/>
      <c r="I48" s="342"/>
      <c r="J48" s="180"/>
      <c r="K48" s="180"/>
      <c r="L48" s="201" t="s">
        <v>840</v>
      </c>
      <c r="M48" s="165">
        <f>COUNTIFS($D9:$D47,"*",$F9:$F47,"1",M9:M47,"S")</f>
        <v>0</v>
      </c>
      <c r="N48" s="165">
        <f>COUNTIFS($D9:$D47,"*",$F9:$F47,"1",N9:N47,"S")</f>
        <v>0</v>
      </c>
      <c r="O48" s="182" t="str">
        <f t="shared" si="3"/>
        <v/>
      </c>
      <c r="P48" s="180"/>
      <c r="Q48" s="180"/>
      <c r="R48" s="180"/>
      <c r="S48" s="180"/>
      <c r="T48" s="180"/>
      <c r="U48" s="343"/>
      <c r="V48" s="748" t="s">
        <v>841</v>
      </c>
      <c r="W48" s="748"/>
      <c r="X48" s="344"/>
      <c r="Y48" s="336">
        <f>IF(COUNTIFS(D9:D47,"*",$F9:$F47,"1")&gt;0,SUMIFS($Y9:$Y47,D9:D47,"*",$F9:$F47,"1")/COUNTIFS(D9:D47,"*",$F9:$F47,"1"),0)</f>
        <v>0</v>
      </c>
      <c r="Z48" s="344"/>
      <c r="AA48" s="243"/>
      <c r="AB48" s="243"/>
      <c r="AC48" s="243"/>
      <c r="AD48" s="243"/>
      <c r="AE48" s="243"/>
      <c r="AF48" s="243"/>
      <c r="AG48" s="243"/>
      <c r="AH48" s="243"/>
    </row>
    <row r="49" spans="1:175" ht="15.95" customHeight="1" x14ac:dyDescent="0.25">
      <c r="A49" s="339"/>
      <c r="B49" s="189">
        <f>IF(OR(Capa!$B$6="B",Capa!$B$6=1),(Y48*70+Y49*30)/100,
        IF(OR(Capa!$B$6=2,Capa!$B$6=3),((Y48*60+Y49*30)/100)+
                                                                IF(AND(Capa!$B$6=2,M48&gt;0),0.1,0)+
                                                                IF(AND(Capa!$B$6=3,M48&gt;0),0.05,0)+
                                                                IF(AND(Capa!$B$6=3,N48&gt;0),0.05,0),0))</f>
        <v>0</v>
      </c>
      <c r="C49" s="749" t="s">
        <v>842</v>
      </c>
      <c r="D49" s="750"/>
      <c r="E49" s="176"/>
      <c r="F49" s="341"/>
      <c r="G49" s="176"/>
      <c r="H49" s="177"/>
      <c r="I49" s="345"/>
      <c r="J49" s="176"/>
      <c r="K49" s="176"/>
      <c r="L49" s="184"/>
      <c r="M49" s="185"/>
      <c r="N49" s="185"/>
      <c r="O49" s="179"/>
      <c r="P49" s="176"/>
      <c r="Q49" s="176"/>
      <c r="R49" s="176"/>
      <c r="S49" s="176"/>
      <c r="T49" s="176"/>
      <c r="U49" s="343"/>
      <c r="V49" s="748" t="s">
        <v>843</v>
      </c>
      <c r="W49" s="748"/>
      <c r="X49" s="344"/>
      <c r="Y49" s="336">
        <f>IF(COUNTIFS(D9:D47,"*",$F9:$F47,"&lt;&gt;1")&gt;0,SUMIFS($Y9:$Y47,D9:D47,"*",$F9:$F47,"&lt;&gt;1")/COUNTIFS(D9:D47,"*",$F9:$F47,"&lt;&gt;1"),0)</f>
        <v>0</v>
      </c>
      <c r="Z49" s="344"/>
      <c r="AA49" s="243"/>
      <c r="AB49" s="243"/>
      <c r="AC49" s="243"/>
      <c r="AD49" s="243"/>
      <c r="AE49" s="243"/>
      <c r="AF49" s="243"/>
      <c r="AG49" s="243"/>
      <c r="AH49" s="243"/>
    </row>
    <row r="50" spans="1:175" ht="15.6" customHeight="1" x14ac:dyDescent="0.25">
      <c r="A50" s="339"/>
      <c r="B50" s="190">
        <f>'Quadro Geral'!F34</f>
        <v>0</v>
      </c>
      <c r="C50" s="186" t="s">
        <v>844</v>
      </c>
      <c r="D50" s="346"/>
      <c r="E50" s="176"/>
      <c r="F50" s="341"/>
      <c r="G50" s="176"/>
      <c r="H50" s="177"/>
      <c r="I50" s="345"/>
      <c r="J50" s="176"/>
      <c r="K50" s="177"/>
      <c r="L50" s="178"/>
      <c r="M50" s="176"/>
      <c r="N50" s="176"/>
      <c r="O50" s="179" t="str">
        <f t="shared" si="3"/>
        <v/>
      </c>
      <c r="P50" s="176"/>
      <c r="Q50" s="177"/>
      <c r="R50" s="176"/>
      <c r="S50" s="176"/>
      <c r="T50" s="176"/>
      <c r="U50" s="343"/>
      <c r="V50" s="243"/>
      <c r="W50" s="243"/>
      <c r="X50" s="243"/>
      <c r="Y50" s="243"/>
      <c r="Z50" s="344"/>
      <c r="AA50" s="243"/>
      <c r="AB50" s="243"/>
      <c r="AC50" s="243"/>
      <c r="AD50" s="243"/>
      <c r="AE50" s="243"/>
      <c r="AF50" s="243"/>
      <c r="AG50" s="243"/>
      <c r="AH50" s="243"/>
    </row>
    <row r="51" spans="1:175" ht="15.6" customHeight="1" x14ac:dyDescent="0.25">
      <c r="A51" s="339"/>
      <c r="E51" s="176"/>
      <c r="F51" s="341"/>
      <c r="G51" s="176"/>
      <c r="H51" s="177"/>
      <c r="I51" s="345"/>
      <c r="J51" s="176"/>
      <c r="K51" s="177"/>
      <c r="L51" s="178"/>
      <c r="M51" s="176"/>
      <c r="N51" s="176"/>
      <c r="O51" s="179" t="str">
        <f t="shared" si="3"/>
        <v/>
      </c>
      <c r="P51" s="176"/>
      <c r="Q51" s="177"/>
      <c r="R51" s="176"/>
      <c r="S51" s="176"/>
      <c r="T51" s="176"/>
      <c r="U51" s="343"/>
      <c r="V51" s="176"/>
      <c r="W51" s="176"/>
      <c r="X51" s="176"/>
      <c r="Y51" s="176"/>
      <c r="Z51" s="344"/>
      <c r="AA51" s="243"/>
      <c r="AB51" s="243"/>
      <c r="AC51" s="243"/>
      <c r="AD51" s="243"/>
      <c r="AE51" s="243"/>
      <c r="AF51" s="243"/>
      <c r="AG51" s="243"/>
      <c r="AH51" s="243"/>
    </row>
    <row r="52" spans="1:175" ht="6.6" customHeight="1" x14ac:dyDescent="0.25">
      <c r="A52" s="339"/>
      <c r="B52" s="183"/>
      <c r="C52" s="347"/>
      <c r="D52" s="348"/>
      <c r="E52" s="154"/>
      <c r="F52" s="349"/>
      <c r="G52" s="154"/>
      <c r="H52" s="154"/>
      <c r="I52" s="349"/>
      <c r="J52" s="154"/>
      <c r="K52" s="154"/>
      <c r="L52" s="154"/>
      <c r="M52" s="154"/>
      <c r="N52" s="154"/>
      <c r="O52" s="349"/>
      <c r="P52" s="154"/>
      <c r="Q52" s="154"/>
      <c r="R52" s="154"/>
      <c r="S52" s="154"/>
      <c r="T52" s="154"/>
      <c r="U52" s="341"/>
      <c r="V52" s="341"/>
      <c r="W52" s="341"/>
      <c r="X52" s="341"/>
      <c r="Y52" s="341"/>
      <c r="Z52" s="341"/>
      <c r="AA52" s="350"/>
      <c r="AB52" s="350"/>
      <c r="AC52" s="350"/>
      <c r="AD52" s="350"/>
      <c r="AE52" s="350"/>
      <c r="AF52" s="350"/>
      <c r="AG52" s="350"/>
      <c r="AH52" s="243"/>
    </row>
    <row r="53" spans="1:175" ht="22.5" customHeight="1" x14ac:dyDescent="0.25">
      <c r="A53" s="244"/>
      <c r="B53" s="155" t="s">
        <v>845</v>
      </c>
      <c r="C53" s="156"/>
      <c r="D53" s="156"/>
      <c r="E53" s="156"/>
      <c r="F53" s="156"/>
      <c r="G53" s="156"/>
      <c r="H53" s="156"/>
      <c r="I53" s="156"/>
      <c r="J53" s="156"/>
      <c r="K53" s="156"/>
      <c r="L53" s="156"/>
      <c r="M53" s="156"/>
      <c r="N53" s="156"/>
      <c r="O53" s="156"/>
      <c r="P53" s="156"/>
      <c r="Q53" s="156"/>
      <c r="R53" s="156"/>
      <c r="S53" s="156"/>
      <c r="T53" s="157"/>
      <c r="U53" s="244"/>
      <c r="V53" s="244"/>
      <c r="W53" s="244"/>
      <c r="X53" s="244"/>
      <c r="Y53" s="244"/>
      <c r="Z53" s="244"/>
      <c r="AA53" s="243"/>
      <c r="AB53" s="243"/>
      <c r="AC53" s="243"/>
      <c r="AD53" s="243"/>
      <c r="AE53" s="243"/>
      <c r="AF53" s="243"/>
      <c r="AG53" s="243"/>
      <c r="AH53" s="243"/>
      <c r="CG53" s="215"/>
      <c r="CH53" s="215"/>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215"/>
      <c r="DY53" s="215"/>
      <c r="DZ53" s="215"/>
      <c r="EA53" s="215"/>
      <c r="EB53" s="215"/>
      <c r="EC53" s="215"/>
      <c r="ED53" s="215"/>
      <c r="EE53" s="215"/>
      <c r="EF53" s="215"/>
      <c r="EG53" s="215"/>
      <c r="EH53" s="215"/>
      <c r="EI53" s="215"/>
      <c r="EJ53" s="215"/>
      <c r="EK53" s="215"/>
      <c r="EL53" s="215"/>
      <c r="EM53" s="215"/>
      <c r="EN53" s="215"/>
      <c r="EO53" s="215"/>
      <c r="EP53" s="215"/>
      <c r="EQ53" s="215"/>
      <c r="ER53" s="215"/>
      <c r="ES53" s="215"/>
      <c r="ET53" s="215"/>
      <c r="EU53" s="215"/>
      <c r="EV53" s="215"/>
      <c r="EW53" s="215"/>
      <c r="EX53" s="215"/>
      <c r="EY53" s="215"/>
      <c r="EZ53" s="215"/>
      <c r="FA53" s="215"/>
      <c r="FB53" s="215"/>
      <c r="FC53" s="215"/>
      <c r="FD53" s="215"/>
      <c r="FE53" s="215"/>
      <c r="FF53" s="215"/>
      <c r="FG53" s="215"/>
      <c r="FH53" s="215"/>
      <c r="FI53" s="215"/>
      <c r="FJ53" s="215"/>
      <c r="FK53" s="215"/>
      <c r="FL53" s="215"/>
      <c r="FM53" s="215"/>
      <c r="FN53" s="215"/>
      <c r="FO53" s="215"/>
      <c r="FP53" s="215"/>
      <c r="FQ53" s="215"/>
      <c r="FR53" s="215"/>
      <c r="FS53" s="215"/>
    </row>
    <row r="54" spans="1:175" s="214" customFormat="1" x14ac:dyDescent="0.25">
      <c r="A54" s="243"/>
      <c r="B54" s="351"/>
      <c r="C54" s="742"/>
      <c r="D54" s="743"/>
      <c r="E54" s="743"/>
      <c r="F54" s="743"/>
      <c r="G54" s="743"/>
      <c r="H54" s="743"/>
      <c r="I54" s="743"/>
      <c r="J54" s="743"/>
      <c r="K54" s="743"/>
      <c r="L54" s="743"/>
      <c r="M54" s="743"/>
      <c r="N54" s="743"/>
      <c r="O54" s="743"/>
      <c r="P54" s="743"/>
      <c r="Q54" s="743"/>
      <c r="R54" s="743"/>
      <c r="S54" s="743"/>
      <c r="T54" s="744"/>
      <c r="U54" s="243"/>
      <c r="V54" s="243"/>
      <c r="W54" s="243"/>
      <c r="X54" s="243"/>
      <c r="Y54" s="243"/>
      <c r="Z54" s="243"/>
      <c r="AA54" s="243"/>
      <c r="AB54" s="243"/>
      <c r="AC54" s="243"/>
      <c r="AD54" s="243"/>
      <c r="AE54" s="243"/>
      <c r="AF54" s="243"/>
      <c r="AG54" s="243"/>
      <c r="AH54" s="243"/>
    </row>
    <row r="55" spans="1:175" s="214" customFormat="1" x14ac:dyDescent="0.25">
      <c r="A55" s="243"/>
      <c r="B55" s="351"/>
      <c r="C55" s="742"/>
      <c r="D55" s="743"/>
      <c r="E55" s="743"/>
      <c r="F55" s="743"/>
      <c r="G55" s="743"/>
      <c r="H55" s="743"/>
      <c r="I55" s="743"/>
      <c r="J55" s="743"/>
      <c r="K55" s="743"/>
      <c r="L55" s="743"/>
      <c r="M55" s="743"/>
      <c r="N55" s="743"/>
      <c r="O55" s="743"/>
      <c r="P55" s="743"/>
      <c r="Q55" s="743"/>
      <c r="R55" s="743"/>
      <c r="S55" s="743"/>
      <c r="T55" s="744"/>
      <c r="U55" s="243"/>
      <c r="V55" s="243"/>
      <c r="W55" s="243"/>
      <c r="X55" s="243"/>
      <c r="Y55" s="243"/>
      <c r="Z55" s="243"/>
      <c r="AA55" s="243"/>
      <c r="AB55" s="243"/>
      <c r="AC55" s="243"/>
      <c r="AD55" s="243"/>
      <c r="AE55" s="243"/>
      <c r="AF55" s="243"/>
      <c r="AG55" s="243"/>
      <c r="AH55" s="243"/>
    </row>
    <row r="56" spans="1:175" s="214" customFormat="1" x14ac:dyDescent="0.25">
      <c r="A56" s="243"/>
      <c r="B56" s="351"/>
      <c r="C56" s="742"/>
      <c r="D56" s="743"/>
      <c r="E56" s="743"/>
      <c r="F56" s="743"/>
      <c r="G56" s="743"/>
      <c r="H56" s="743"/>
      <c r="I56" s="743"/>
      <c r="J56" s="743"/>
      <c r="K56" s="743"/>
      <c r="L56" s="743"/>
      <c r="M56" s="743"/>
      <c r="N56" s="743"/>
      <c r="O56" s="743"/>
      <c r="P56" s="743"/>
      <c r="Q56" s="743"/>
      <c r="R56" s="743"/>
      <c r="S56" s="743"/>
      <c r="T56" s="744"/>
      <c r="U56" s="243"/>
      <c r="V56" s="243"/>
      <c r="W56" s="243"/>
      <c r="X56" s="243"/>
      <c r="Y56" s="243"/>
      <c r="Z56" s="243"/>
      <c r="AA56" s="243"/>
      <c r="AB56" s="243"/>
      <c r="AC56" s="243"/>
      <c r="AD56" s="243"/>
      <c r="AE56" s="243"/>
      <c r="AF56" s="243"/>
      <c r="AG56" s="243"/>
      <c r="AH56" s="243"/>
    </row>
    <row r="57" spans="1:175" s="214" customFormat="1" x14ac:dyDescent="0.25">
      <c r="A57" s="243"/>
      <c r="B57" s="351"/>
      <c r="C57" s="742"/>
      <c r="D57" s="743"/>
      <c r="E57" s="743"/>
      <c r="F57" s="743"/>
      <c r="G57" s="743"/>
      <c r="H57" s="743"/>
      <c r="I57" s="743"/>
      <c r="J57" s="743"/>
      <c r="K57" s="743"/>
      <c r="L57" s="743"/>
      <c r="M57" s="743"/>
      <c r="N57" s="743"/>
      <c r="O57" s="743"/>
      <c r="P57" s="743"/>
      <c r="Q57" s="743"/>
      <c r="R57" s="743"/>
      <c r="S57" s="743"/>
      <c r="T57" s="744"/>
      <c r="U57" s="243"/>
      <c r="V57" s="243"/>
      <c r="W57" s="243"/>
      <c r="X57" s="243"/>
      <c r="Y57" s="243"/>
      <c r="Z57" s="243"/>
      <c r="AA57" s="243"/>
      <c r="AB57" s="243"/>
      <c r="AC57" s="243"/>
      <c r="AD57" s="243"/>
      <c r="AE57" s="243"/>
      <c r="AF57" s="243"/>
      <c r="AG57" s="243"/>
      <c r="AH57" s="243"/>
    </row>
    <row r="58" spans="1:175" s="214" customFormat="1" x14ac:dyDescent="0.25">
      <c r="B58" s="158"/>
      <c r="C58" s="158"/>
    </row>
    <row r="59" spans="1:175" s="214" customFormat="1" x14ac:dyDescent="0.25">
      <c r="B59" s="158"/>
      <c r="C59" s="158"/>
    </row>
    <row r="60" spans="1:175" s="214" customFormat="1" x14ac:dyDescent="0.25">
      <c r="B60" s="158"/>
      <c r="C60" s="158"/>
    </row>
    <row r="61" spans="1:175" s="214" customFormat="1" x14ac:dyDescent="0.25">
      <c r="B61" s="158"/>
      <c r="C61" s="158"/>
    </row>
    <row r="62" spans="1:175" s="214" customFormat="1" x14ac:dyDescent="0.25">
      <c r="B62" s="158"/>
      <c r="C62" s="158"/>
    </row>
    <row r="63" spans="1:175" s="214" customFormat="1" x14ac:dyDescent="0.25">
      <c r="B63" s="158"/>
      <c r="C63" s="158"/>
    </row>
    <row r="64" spans="1:175" s="214" customFormat="1" x14ac:dyDescent="0.25">
      <c r="B64" s="158"/>
      <c r="C64" s="158"/>
    </row>
    <row r="65" spans="2:3" s="214" customFormat="1" x14ac:dyDescent="0.25">
      <c r="B65" s="158"/>
      <c r="C65" s="158"/>
    </row>
    <row r="66" spans="2:3" s="214" customFormat="1" x14ac:dyDescent="0.25">
      <c r="B66" s="158"/>
      <c r="C66" s="158"/>
    </row>
    <row r="67" spans="2:3" s="214" customFormat="1" x14ac:dyDescent="0.25">
      <c r="B67" s="158"/>
      <c r="C67" s="158"/>
    </row>
    <row r="68" spans="2:3" s="214" customFormat="1" x14ac:dyDescent="0.25">
      <c r="B68" s="158"/>
      <c r="C68" s="158"/>
    </row>
    <row r="69" spans="2:3" s="214" customFormat="1" x14ac:dyDescent="0.25">
      <c r="B69" s="158"/>
      <c r="C69" s="158"/>
    </row>
    <row r="70" spans="2:3" s="214" customFormat="1" x14ac:dyDescent="0.25">
      <c r="B70" s="158"/>
      <c r="C70" s="158"/>
    </row>
    <row r="71" spans="2:3" s="214" customFormat="1" x14ac:dyDescent="0.25">
      <c r="B71" s="158"/>
      <c r="C71" s="158"/>
    </row>
    <row r="72" spans="2:3" s="214" customFormat="1" x14ac:dyDescent="0.25">
      <c r="B72" s="158"/>
      <c r="C72" s="158"/>
    </row>
    <row r="73" spans="2:3" s="214" customFormat="1" x14ac:dyDescent="0.25">
      <c r="B73" s="158"/>
      <c r="C73" s="158"/>
    </row>
    <row r="74" spans="2:3" s="214" customFormat="1" x14ac:dyDescent="0.25">
      <c r="B74" s="158"/>
      <c r="C74" s="158"/>
    </row>
    <row r="75" spans="2:3" s="214" customFormat="1" x14ac:dyDescent="0.25">
      <c r="B75" s="158"/>
      <c r="C75" s="158"/>
    </row>
    <row r="76" spans="2:3" s="214" customFormat="1" x14ac:dyDescent="0.25">
      <c r="B76" s="158"/>
      <c r="C76" s="158"/>
    </row>
    <row r="77" spans="2:3" s="214" customFormat="1" x14ac:dyDescent="0.25">
      <c r="B77" s="158"/>
      <c r="C77" s="158"/>
    </row>
    <row r="78" spans="2:3" s="214" customFormat="1" x14ac:dyDescent="0.25">
      <c r="B78" s="158"/>
      <c r="C78" s="158"/>
    </row>
    <row r="79" spans="2:3" s="214" customFormat="1" x14ac:dyDescent="0.25">
      <c r="B79" s="158"/>
      <c r="C79" s="158"/>
    </row>
    <row r="80" spans="2:3" s="214" customFormat="1" x14ac:dyDescent="0.25">
      <c r="B80" s="158"/>
      <c r="C80" s="158"/>
    </row>
    <row r="81" spans="2:3" s="214" customFormat="1" x14ac:dyDescent="0.25">
      <c r="B81" s="158"/>
      <c r="C81" s="158"/>
    </row>
    <row r="82" spans="2:3" s="214" customFormat="1" x14ac:dyDescent="0.25">
      <c r="B82" s="158"/>
      <c r="C82" s="158"/>
    </row>
    <row r="83" spans="2:3" s="214" customFormat="1" x14ac:dyDescent="0.25">
      <c r="B83" s="158"/>
      <c r="C83" s="158"/>
    </row>
    <row r="84" spans="2:3" s="214" customFormat="1" x14ac:dyDescent="0.25">
      <c r="B84" s="158"/>
      <c r="C84" s="158"/>
    </row>
    <row r="85" spans="2:3" s="214" customFormat="1" x14ac:dyDescent="0.25">
      <c r="B85" s="158"/>
      <c r="C85" s="158"/>
    </row>
    <row r="86" spans="2:3" s="214" customFormat="1" x14ac:dyDescent="0.25">
      <c r="B86" s="158"/>
      <c r="C86" s="158"/>
    </row>
    <row r="87" spans="2:3" s="214" customFormat="1" x14ac:dyDescent="0.25">
      <c r="B87" s="158"/>
      <c r="C87" s="158"/>
    </row>
    <row r="88" spans="2:3" s="214" customFormat="1" x14ac:dyDescent="0.25">
      <c r="B88" s="158"/>
      <c r="C88" s="158"/>
    </row>
    <row r="89" spans="2:3" s="214" customFormat="1" x14ac:dyDescent="0.25">
      <c r="B89" s="158"/>
      <c r="C89" s="158"/>
    </row>
    <row r="90" spans="2:3" s="214" customFormat="1" x14ac:dyDescent="0.25">
      <c r="B90" s="158"/>
      <c r="C90" s="158"/>
    </row>
    <row r="91" spans="2:3" s="214" customFormat="1" x14ac:dyDescent="0.25">
      <c r="B91" s="158"/>
      <c r="C91" s="158"/>
    </row>
    <row r="92" spans="2:3" s="214" customFormat="1" x14ac:dyDescent="0.25">
      <c r="B92" s="158"/>
      <c r="C92" s="158"/>
    </row>
    <row r="93" spans="2:3" s="214" customFormat="1" x14ac:dyDescent="0.25">
      <c r="B93" s="158"/>
      <c r="C93" s="158"/>
    </row>
    <row r="94" spans="2:3" s="214" customFormat="1" x14ac:dyDescent="0.25">
      <c r="B94" s="158"/>
      <c r="C94" s="158"/>
    </row>
    <row r="95" spans="2:3" s="214" customFormat="1" x14ac:dyDescent="0.25">
      <c r="B95" s="158"/>
      <c r="C95" s="158"/>
    </row>
    <row r="96" spans="2:3" s="214" customFormat="1" x14ac:dyDescent="0.25">
      <c r="B96" s="158"/>
      <c r="C96" s="158"/>
    </row>
    <row r="97" spans="2:3" s="214" customFormat="1" x14ac:dyDescent="0.25">
      <c r="B97" s="158"/>
      <c r="C97" s="158"/>
    </row>
    <row r="98" spans="2:3" s="214" customFormat="1" x14ac:dyDescent="0.25">
      <c r="B98" s="158"/>
      <c r="C98" s="158"/>
    </row>
    <row r="99" spans="2:3" s="214" customFormat="1" x14ac:dyDescent="0.25">
      <c r="B99" s="158"/>
      <c r="C99" s="158"/>
    </row>
    <row r="100" spans="2:3" s="214" customFormat="1" x14ac:dyDescent="0.25">
      <c r="B100" s="158"/>
      <c r="C100" s="158"/>
    </row>
    <row r="101" spans="2:3" s="214" customFormat="1" x14ac:dyDescent="0.25">
      <c r="B101" s="158"/>
      <c r="C101" s="158"/>
    </row>
    <row r="102" spans="2:3" s="214" customFormat="1" x14ac:dyDescent="0.25">
      <c r="B102" s="158"/>
      <c r="C102" s="158"/>
    </row>
    <row r="103" spans="2:3" s="214" customFormat="1" x14ac:dyDescent="0.25">
      <c r="B103" s="158"/>
      <c r="C103" s="158"/>
    </row>
    <row r="104" spans="2:3" s="214" customFormat="1" x14ac:dyDescent="0.25">
      <c r="B104" s="158"/>
      <c r="C104" s="158"/>
    </row>
    <row r="105" spans="2:3" s="214" customFormat="1" x14ac:dyDescent="0.25">
      <c r="B105" s="158"/>
      <c r="C105" s="158"/>
    </row>
    <row r="106" spans="2:3" s="214" customFormat="1" x14ac:dyDescent="0.25">
      <c r="B106" s="158"/>
      <c r="C106" s="158"/>
    </row>
    <row r="107" spans="2:3" s="214" customFormat="1" x14ac:dyDescent="0.25">
      <c r="B107" s="158"/>
      <c r="C107" s="158"/>
    </row>
    <row r="108" spans="2:3" s="214" customFormat="1" x14ac:dyDescent="0.25">
      <c r="B108" s="158"/>
      <c r="C108" s="158"/>
    </row>
    <row r="109" spans="2:3" s="214" customFormat="1" x14ac:dyDescent="0.25">
      <c r="B109" s="158"/>
      <c r="C109" s="158"/>
    </row>
    <row r="110" spans="2:3" s="214" customFormat="1" x14ac:dyDescent="0.25">
      <c r="B110" s="158"/>
      <c r="C110" s="158"/>
    </row>
    <row r="111" spans="2:3" s="214" customFormat="1" x14ac:dyDescent="0.25">
      <c r="B111" s="158"/>
      <c r="C111" s="158"/>
    </row>
    <row r="112" spans="2:3" s="214" customFormat="1" x14ac:dyDescent="0.25">
      <c r="B112" s="158"/>
      <c r="C112" s="158"/>
    </row>
    <row r="113" spans="2:3" s="214" customFormat="1" x14ac:dyDescent="0.25">
      <c r="B113" s="158"/>
      <c r="C113" s="158"/>
    </row>
  </sheetData>
  <sheetProtection algorithmName="SHA-512" hashValue="Fw5E2vSm/hUmuXGXTR0mBfJ6jgaCt90VBVUU0F3UE3BNlyW1W6w6RLOENxq+wlcZ+1qqVZZssKeRIt+5rLlzQw==" saltValue="KvHYzW6/QIrbIJeIAfVaig==" spinCount="100000" sheet="1" formatCells="0" formatColumns="0" formatRows="0"/>
  <mergeCells count="14">
    <mergeCell ref="G3:W3"/>
    <mergeCell ref="B4:D4"/>
    <mergeCell ref="G4:H4"/>
    <mergeCell ref="J4:N4"/>
    <mergeCell ref="P4:T4"/>
    <mergeCell ref="V4:W4"/>
    <mergeCell ref="C56:T56"/>
    <mergeCell ref="C57:T57"/>
    <mergeCell ref="AA4:AG4"/>
    <mergeCell ref="V48:W48"/>
    <mergeCell ref="C49:D49"/>
    <mergeCell ref="V49:W49"/>
    <mergeCell ref="C54:T54"/>
    <mergeCell ref="C55:T55"/>
  </mergeCells>
  <conditionalFormatting sqref="B4">
    <cfRule type="dataBar" priority="204">
      <dataBar>
        <cfvo type="num" val="0.1"/>
        <cfvo type="num" val="1"/>
        <color rgb="FF92D050"/>
      </dataBar>
      <extLst>
        <ext xmlns:x14="http://schemas.microsoft.com/office/spreadsheetml/2009/9/main" uri="{B025F937-C7B1-47D3-B67F-A62EFF666E3E}">
          <x14:id>{E6CCA426-329D-4852-9091-AD84C97CBE90}</x14:id>
        </ext>
      </extLst>
    </cfRule>
  </conditionalFormatting>
  <conditionalFormatting sqref="H9:H46">
    <cfRule type="expression" dxfId="126" priority="1">
      <formula>AND($G9&lt;&gt;"S",NOT(ISBLANK($H9)))</formula>
    </cfRule>
  </conditionalFormatting>
  <conditionalFormatting sqref="J10:J46">
    <cfRule type="expression" dxfId="125" priority="9">
      <formula>$F10&lt;&gt;1</formula>
    </cfRule>
  </conditionalFormatting>
  <conditionalFormatting sqref="J9:N9">
    <cfRule type="expression" dxfId="124" priority="198">
      <formula>$F9&lt;&gt;1</formula>
    </cfRule>
  </conditionalFormatting>
  <conditionalFormatting sqref="K10:N15">
    <cfRule type="expression" dxfId="123" priority="10">
      <formula>$F10&lt;&gt;1</formula>
    </cfRule>
  </conditionalFormatting>
  <conditionalFormatting sqref="K18:N23">
    <cfRule type="expression" dxfId="122" priority="4">
      <formula>$F18&lt;&gt;1</formula>
    </cfRule>
  </conditionalFormatting>
  <conditionalFormatting sqref="K16:P17 K24:P46">
    <cfRule type="expression" dxfId="121" priority="75">
      <formula>$F16&lt;&gt;1</formula>
    </cfRule>
  </conditionalFormatting>
  <conditionalFormatting sqref="P9:P15">
    <cfRule type="expression" dxfId="120" priority="8">
      <formula>$F9&lt;&gt;1</formula>
    </cfRule>
  </conditionalFormatting>
  <conditionalFormatting sqref="P18:P23">
    <cfRule type="expression" dxfId="119" priority="3">
      <formula>$F18&lt;&gt;1</formula>
    </cfRule>
  </conditionalFormatting>
  <conditionalFormatting sqref="Q9:T46">
    <cfRule type="expression" dxfId="118" priority="14">
      <formula>$F9&lt;&gt;1</formula>
    </cfRule>
  </conditionalFormatting>
  <conditionalFormatting sqref="V9:V10">
    <cfRule type="expression" dxfId="117" priority="191">
      <formula>$F9&lt;&gt;1</formula>
    </cfRule>
  </conditionalFormatting>
  <conditionalFormatting sqref="V16:V17 V24:V46">
    <cfRule type="expression" dxfId="116" priority="90">
      <formula>$F16&lt;&gt;1</formula>
    </cfRule>
  </conditionalFormatting>
  <conditionalFormatting sqref="V18">
    <cfRule type="expression" dxfId="115" priority="7">
      <formula>$F18&lt;&gt;1</formula>
    </cfRule>
  </conditionalFormatting>
  <conditionalFormatting sqref="V9:W15 V17:W46 V16">
    <cfRule type="expression" dxfId="114" priority="79" stopIfTrue="1">
      <formula>AND($F9&lt;&gt;1,NOT(ISBLANK($V9)))</formula>
    </cfRule>
  </conditionalFormatting>
  <conditionalFormatting sqref="V11:W15">
    <cfRule type="expression" dxfId="113" priority="12" stopIfTrue="1">
      <formula>AND($F11&lt;&gt;1,NOT(ISBLANK($V11)))</formula>
    </cfRule>
    <cfRule type="expression" dxfId="112" priority="13">
      <formula>$F11&lt;&gt;1</formula>
    </cfRule>
  </conditionalFormatting>
  <conditionalFormatting sqref="V19:W23">
    <cfRule type="expression" dxfId="111" priority="5" stopIfTrue="1">
      <formula>AND($F19&lt;&gt;1,NOT(ISBLANK($V19)))</formula>
    </cfRule>
    <cfRule type="expression" dxfId="110" priority="6">
      <formula>$F19&lt;&gt;1</formula>
    </cfRule>
  </conditionalFormatting>
  <conditionalFormatting sqref="W9:W15 W17:W46">
    <cfRule type="expression" dxfId="109" priority="80">
      <formula>$F9&lt;&gt;1</formula>
    </cfRule>
  </conditionalFormatting>
  <conditionalFormatting sqref="W16">
    <cfRule type="expression" dxfId="108" priority="2">
      <formula>$F16&lt;&gt;1</formula>
    </cfRule>
  </conditionalFormatting>
  <dataValidations count="13">
    <dataValidation type="list" allowBlank="1" showInputMessage="1" showErrorMessage="1" error="Opção inválida! 0,1,2 ou 3" promptTitle="Há padrão suficiente" sqref="Q9:Q46" xr:uid="{00000000-0002-0000-0900-000000000000}">
      <formula1>"0,1,2,3"</formula1>
    </dataValidation>
    <dataValidation type="list" allowBlank="1" showInputMessage="1" showErrorMessage="1" error="Opção inválida! 0,1,2 ou 3." sqref="V9:V46" xr:uid="{00000000-0002-0000-0900-000001000000}">
      <formula1>"0,1,2,3"</formula1>
    </dataValidation>
    <dataValidation type="list" allowBlank="1" showInputMessage="1" showErrorMessage="1" error="Opção inválida" promptTitle="Há padrão suficiente" sqref="K9:K46 H9:H46" xr:uid="{00000000-0002-0000-0900-000002000000}">
      <formula1>"0,1,2,3"</formula1>
    </dataValidation>
    <dataValidation type="list" allowBlank="1" showInputMessage="1" showErrorMessage="1" error="Opção inválida" promptTitle="Há padrão suficiente" sqref="P52 J52 E47:E52 G52 E8 P9:P46 J8:J47 G8:G47" xr:uid="{00000000-0002-0000-0900-000003000000}">
      <formula1>"S,N,s,n"</formula1>
    </dataValidation>
    <dataValidation type="list" allowBlank="1" showInputMessage="1" showErrorMessage="1" error="Opção inválida" promptTitle="Há padrão suficiente" sqref="Q52 Q8 K8 H47 K47 Q47 H8 M52:N52 H52 K52 M8:N47" xr:uid="{00000000-0002-0000-0900-000004000000}">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AE18" xr:uid="{00000000-0002-0000-0900-000005000000}"/>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AD18" xr:uid="{00000000-0002-0000-0900-000006000000}"/>
    <dataValidation type="list" allowBlank="1" showInputMessage="1" showErrorMessage="1" promptTitle="Bom quando" prompt="&quot;+&quot; Aumentar_x000a_&quot;=&quot; Manter _x000a_&quot;-&quot;  Diminuir" sqref="AA9:AA46" xr:uid="{00000000-0002-0000-0900-000007000000}">
      <formula1>"+,=,-"</formula1>
    </dataValidation>
    <dataValidation type="list" allowBlank="1" showInputMessage="1" showErrorMessage="1" error="Opção inválida" sqref="T8 V8:W8 V47:W47 T47 S52:T52 S8:S47" xr:uid="{00000000-0002-0000-0900-000008000000}">
      <formula1>"MT,EF,mt,ef"</formula1>
    </dataValidation>
    <dataValidation type="list" allowBlank="1" showInputMessage="1" showErrorMessage="1" error="Opção inválida" promptTitle="Há padrão suficiente" sqref="P8 P47" xr:uid="{00000000-0002-0000-0900-000009000000}">
      <formula1>"S,N,s,n,NS,ns"</formula1>
    </dataValidation>
    <dataValidation allowBlank="1" showInputMessage="1" showErrorMessage="1" error="Opção inválida" sqref="T9:T46 W16" xr:uid="{00000000-0002-0000-0900-00000A000000}"/>
    <dataValidation type="list" allowBlank="1" showInputMessage="1" showErrorMessage="1" promptTitle="Informe PF ou OM" prompt="Descreva o PF ou a OM à Direita" sqref="B54:B57" xr:uid="{00000000-0002-0000-0900-00000B000000}">
      <formula1>"PF,OM"</formula1>
    </dataValidation>
    <dataValidation type="list" allowBlank="1" showInputMessage="1" showErrorMessage="1" error="Opção inválida!" sqref="E9:E46" xr:uid="{00000000-0002-0000-0900-00000C000000}">
      <formula1>"N,E,O,G,n,e,o,g,NO,EO,no,eo,ON,OE,on,oe"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6CCA426-329D-4852-9091-AD84C97CBE90}">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dimension ref="A1:FS109"/>
  <sheetViews>
    <sheetView zoomScale="115" zoomScaleNormal="115" workbookViewId="0">
      <pane xSplit="4" ySplit="8" topLeftCell="E9" activePane="bottomRight" state="frozen"/>
      <selection pane="topRight" activeCell="E1" sqref="E1"/>
      <selection pane="bottomLeft" activeCell="A9" sqref="A9"/>
      <selection pane="bottomRight" activeCell="B9" sqref="B9"/>
    </sheetView>
  </sheetViews>
  <sheetFormatPr defaultColWidth="8.85546875" defaultRowHeight="15" x14ac:dyDescent="0.25"/>
  <cols>
    <col min="1" max="1" width="1.85546875" style="215" customWidth="1"/>
    <col min="2" max="2" width="10.42578125" style="159" customWidth="1"/>
    <col min="3" max="3" width="8.85546875" style="159" customWidth="1"/>
    <col min="4" max="4" width="30.140625" style="215" customWidth="1"/>
    <col min="5" max="5" width="4.140625" style="215" customWidth="1"/>
    <col min="6" max="6" width="1.5703125" style="215" customWidth="1"/>
    <col min="7" max="7" width="8" style="215" customWidth="1"/>
    <col min="8" max="8" width="4.42578125" style="215" customWidth="1"/>
    <col min="9" max="9" width="1.85546875" style="215" customWidth="1"/>
    <col min="10" max="10" width="6.85546875" style="215" customWidth="1"/>
    <col min="11" max="11" width="3.85546875" style="215" customWidth="1"/>
    <col min="12" max="12" width="14.5703125" style="215" customWidth="1"/>
    <col min="13" max="13" width="3.140625" style="215" customWidth="1"/>
    <col min="14" max="14" width="5.140625" style="215" customWidth="1"/>
    <col min="15" max="15" width="1.85546875" style="215" customWidth="1"/>
    <col min="16" max="16" width="6.140625" style="215" customWidth="1"/>
    <col min="17" max="17" width="3.85546875" style="215" customWidth="1"/>
    <col min="18" max="18" width="13.5703125" style="215" customWidth="1"/>
    <col min="19" max="19" width="7" style="215" customWidth="1"/>
    <col min="20" max="20" width="13.5703125" style="215" customWidth="1"/>
    <col min="21" max="21" width="1.85546875" style="215" customWidth="1"/>
    <col min="22" max="22" width="4.140625" style="215" customWidth="1"/>
    <col min="23" max="23" width="12.85546875" style="215" customWidth="1"/>
    <col min="24" max="24" width="1.85546875" style="215" customWidth="1"/>
    <col min="25" max="25" width="5.1406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19.350000000000001" customHeight="1" x14ac:dyDescent="0.25">
      <c r="A2" s="244"/>
      <c r="B2" s="191" t="s">
        <v>847</v>
      </c>
      <c r="C2" s="191"/>
      <c r="D2" s="192"/>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3.35" customHeight="1" x14ac:dyDescent="0.25">
      <c r="A3" s="244"/>
      <c r="B3" s="244"/>
      <c r="C3" s="244"/>
      <c r="D3" s="244"/>
      <c r="E3" s="310"/>
      <c r="F3" s="244"/>
      <c r="G3" s="735" t="s">
        <v>23</v>
      </c>
      <c r="H3" s="735"/>
      <c r="I3" s="735"/>
      <c r="J3" s="735"/>
      <c r="K3" s="735"/>
      <c r="L3" s="735"/>
      <c r="M3" s="735"/>
      <c r="N3" s="735"/>
      <c r="O3" s="735"/>
      <c r="P3" s="735"/>
      <c r="Q3" s="735"/>
      <c r="R3" s="735"/>
      <c r="S3" s="735"/>
      <c r="T3" s="735"/>
      <c r="U3" s="735"/>
      <c r="V3" s="735"/>
      <c r="W3" s="735"/>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36">
        <f>IF(COUNTIF($D8:$D43,"*")&gt;0,(COUNTIFS($D8:$D43,"*",$F8:$F43,"1",V8:V43,"&gt;=0")+COUNTIFS($D8:$D43,"*",$F8:$F43,"&lt;&gt;1",E8:E43,"*"))/COUNTIF($D8:$D43,"*"),0)</f>
        <v>0</v>
      </c>
      <c r="C4" s="736"/>
      <c r="D4" s="736"/>
      <c r="E4" s="310"/>
      <c r="F4" s="244"/>
      <c r="G4" s="737" t="s">
        <v>808</v>
      </c>
      <c r="H4" s="738"/>
      <c r="I4" s="171" t="str">
        <f>IF(ISNUMBER(AVERAGE(I9:I43)),AVERAGE(I9:I43),"Sem")</f>
        <v>Sem</v>
      </c>
      <c r="J4" s="739" t="s">
        <v>809</v>
      </c>
      <c r="K4" s="739"/>
      <c r="L4" s="739"/>
      <c r="M4" s="739"/>
      <c r="N4" s="739"/>
      <c r="O4" s="171" t="str">
        <f>IF(ISNUMBER(AVERAGE(O9:O43)),AVERAGE(O9:O43),"Sem")</f>
        <v>Sem</v>
      </c>
      <c r="P4" s="739" t="s">
        <v>810</v>
      </c>
      <c r="Q4" s="739"/>
      <c r="R4" s="739"/>
      <c r="S4" s="739"/>
      <c r="T4" s="739"/>
      <c r="U4" s="171" t="str">
        <f>IF(ISNUMBER(AVERAGE(U9:U43)),AVERAGE(U9:U43),"Sem")</f>
        <v>Sem</v>
      </c>
      <c r="V4" s="740" t="s">
        <v>811</v>
      </c>
      <c r="W4" s="741"/>
      <c r="X4" s="207" t="str">
        <f>IF(ISNUMBER(AVERAGE(X9:X43)),AVERAGE(X9:X43),"Sem")</f>
        <v>Sem</v>
      </c>
      <c r="Y4" s="142"/>
      <c r="Z4" s="142"/>
      <c r="AA4" s="745" t="s">
        <v>812</v>
      </c>
      <c r="AB4" s="746"/>
      <c r="AC4" s="746"/>
      <c r="AD4" s="746"/>
      <c r="AE4" s="746"/>
      <c r="AF4" s="746"/>
      <c r="AG4" s="747"/>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12.95"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1.35"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18.95" customHeight="1" x14ac:dyDescent="0.25">
      <c r="A9" s="311">
        <v>8</v>
      </c>
      <c r="B9" s="674"/>
      <c r="C9" s="675"/>
      <c r="D9" s="676"/>
      <c r="E9" s="677"/>
      <c r="F9" s="164" t="str">
        <f>IF(OR(ISNUMBER(SEARCH("N",$E9)),ISNUMBER(SEARCH("E",$E9))),1,"")</f>
        <v/>
      </c>
      <c r="G9" s="677"/>
      <c r="H9" s="51"/>
      <c r="I9" s="171" t="str">
        <f>IF(G9="S",IF(H9=3,1,IF(H9=2,0.6,IF(H9=1,0.3,0))),"")</f>
        <v/>
      </c>
      <c r="J9" s="51"/>
      <c r="K9" s="51"/>
      <c r="L9" s="51"/>
      <c r="M9" s="51"/>
      <c r="N9" s="51"/>
      <c r="O9" s="171" t="str">
        <f>IF(AND($F9=1,J9="S"),IF(K9=3,1,IF(K9=2,0.6,IF(K9=1,0.3,0))),"")</f>
        <v/>
      </c>
      <c r="P9" s="51"/>
      <c r="Q9" s="51"/>
      <c r="R9" s="51"/>
      <c r="S9" s="51"/>
      <c r="T9" s="51"/>
      <c r="U9" s="171" t="str">
        <f>IF(AND($F9=1,P9="S"),IF(Q9=3,1,IF(Q9=2,0.6,IF(Q9=1,0.3,0))),"")</f>
        <v/>
      </c>
      <c r="V9" s="335"/>
      <c r="W9" s="335"/>
      <c r="X9" s="171" t="str">
        <f>IF($F9=1,IF(V9=3,1,IF(V9=2,0.6,IF(V9=1,0.3,0))),"")</f>
        <v/>
      </c>
      <c r="Y9" s="336" t="str">
        <f t="shared" ref="Y9:Y42" si="0">IF(NOT(ISBLANK(D9)),IF(OR(ISNUMBER(I9),ISNUMBER(O9),ISNUMBER(U9),ISNUMBER(X9)),AVERAGE(I9,O9,U9,X9),0),"")</f>
        <v/>
      </c>
      <c r="Z9" s="329"/>
      <c r="AA9" s="337"/>
      <c r="AB9" s="297"/>
      <c r="AC9" s="337"/>
      <c r="AD9" s="337"/>
      <c r="AE9" s="337"/>
      <c r="AF9" s="337"/>
      <c r="AG9" s="338"/>
      <c r="AH9" s="243"/>
    </row>
    <row r="10" spans="1:175" ht="20.85" customHeight="1" x14ac:dyDescent="0.25">
      <c r="A10" s="311">
        <v>8</v>
      </c>
      <c r="B10" s="674"/>
      <c r="C10" s="675"/>
      <c r="D10" s="676"/>
      <c r="E10" s="677"/>
      <c r="F10" s="164" t="str">
        <f t="shared" ref="F10:F42" si="1">IF(OR(ISNUMBER(SEARCH("N",$E10)),ISNUMBER(SEARCH("E",$E10))),1,"")</f>
        <v/>
      </c>
      <c r="G10" s="677"/>
      <c r="H10" s="51"/>
      <c r="I10" s="171" t="str">
        <f t="shared" ref="I10:I43" si="2">IF(G10="S",IF(H10=3,1,IF(H10=2,0.6,IF(H10=1,0.3,0))),"")</f>
        <v/>
      </c>
      <c r="J10" s="51"/>
      <c r="K10" s="51"/>
      <c r="L10" s="51"/>
      <c r="M10" s="51"/>
      <c r="N10" s="51"/>
      <c r="O10" s="171" t="str">
        <f t="shared" ref="O10:O47" si="3">IF(AND($F10=1,J10="S"),IF(K10=3,1,IF(K10=2,0.6,IF(K10=1,0.3,0))),"")</f>
        <v/>
      </c>
      <c r="P10" s="51"/>
      <c r="Q10" s="51"/>
      <c r="R10" s="51"/>
      <c r="S10" s="51"/>
      <c r="T10" s="51"/>
      <c r="U10" s="171" t="str">
        <f t="shared" ref="U10:U43" si="4">IF(AND($F10=1,P10="S"),IF(Q10=3,1,IF(Q10=2,0.6,IF(Q10=1,0.3,0))),"")</f>
        <v/>
      </c>
      <c r="V10" s="335"/>
      <c r="W10" s="335"/>
      <c r="X10" s="171" t="str">
        <f t="shared" ref="X10:X43" si="5">IF($F10=1,IF(V10=3,1,IF(V10=2,0.6,IF(V10=1,0.3,0))),"")</f>
        <v/>
      </c>
      <c r="Y10" s="336" t="str">
        <f t="shared" si="0"/>
        <v/>
      </c>
      <c r="Z10" s="329"/>
      <c r="AA10" s="337"/>
      <c r="AB10" s="297"/>
      <c r="AC10" s="337"/>
      <c r="AD10" s="337"/>
      <c r="AE10" s="337"/>
      <c r="AF10" s="337"/>
      <c r="AG10" s="338"/>
      <c r="AH10" s="243"/>
    </row>
    <row r="11" spans="1:175" ht="18.95" customHeight="1" x14ac:dyDescent="0.25">
      <c r="A11" s="311">
        <v>8</v>
      </c>
      <c r="B11" s="674"/>
      <c r="C11" s="675"/>
      <c r="D11" s="676"/>
      <c r="E11" s="677"/>
      <c r="F11" s="164" t="str">
        <f t="shared" si="1"/>
        <v/>
      </c>
      <c r="G11" s="677"/>
      <c r="H11" s="51"/>
      <c r="I11" s="171" t="str">
        <f t="shared" si="2"/>
        <v/>
      </c>
      <c r="J11" s="51"/>
      <c r="K11" s="51"/>
      <c r="L11" s="51"/>
      <c r="M11" s="51"/>
      <c r="N11" s="51"/>
      <c r="O11" s="171" t="str">
        <f t="shared" si="3"/>
        <v/>
      </c>
      <c r="P11" s="51"/>
      <c r="Q11" s="51"/>
      <c r="R11" s="51"/>
      <c r="S11" s="51"/>
      <c r="T11" s="51"/>
      <c r="U11" s="171" t="str">
        <f t="shared" si="4"/>
        <v/>
      </c>
      <c r="V11" s="335"/>
      <c r="W11" s="335"/>
      <c r="X11" s="171" t="str">
        <f t="shared" si="5"/>
        <v/>
      </c>
      <c r="Y11" s="336" t="str">
        <f t="shared" si="0"/>
        <v/>
      </c>
      <c r="Z11" s="329"/>
      <c r="AA11" s="337"/>
      <c r="AB11" s="337"/>
      <c r="AC11" s="337"/>
      <c r="AD11" s="337"/>
      <c r="AE11" s="337"/>
      <c r="AF11" s="337"/>
      <c r="AG11" s="338"/>
      <c r="AH11" s="243"/>
    </row>
    <row r="12" spans="1:175" ht="20.100000000000001" customHeight="1" x14ac:dyDescent="0.25">
      <c r="A12" s="311">
        <v>8</v>
      </c>
      <c r="B12" s="674"/>
      <c r="C12" s="675"/>
      <c r="D12" s="676"/>
      <c r="E12" s="677"/>
      <c r="F12" s="164" t="str">
        <f t="shared" si="1"/>
        <v/>
      </c>
      <c r="G12" s="677"/>
      <c r="H12" s="51"/>
      <c r="I12" s="171" t="str">
        <f t="shared" ref="I12:I17" si="6">IF(G12="S",IF(H12=3,1,IF(H12=2,0.6,IF(H12=1,0.3,0))),"")</f>
        <v/>
      </c>
      <c r="J12" s="51"/>
      <c r="K12" s="51"/>
      <c r="L12" s="51"/>
      <c r="M12" s="51"/>
      <c r="N12" s="51"/>
      <c r="O12" s="171" t="str">
        <f t="shared" ref="O12:O17" si="7">IF(AND($F12=1,J12="S"),IF(K12=3,1,IF(K12=2,0.6,IF(K12=1,0.3,0))),"")</f>
        <v/>
      </c>
      <c r="P12" s="51"/>
      <c r="Q12" s="51"/>
      <c r="R12" s="51"/>
      <c r="S12" s="51"/>
      <c r="T12" s="51"/>
      <c r="U12" s="171" t="str">
        <f t="shared" ref="U12:U17" si="8">IF(AND($F12=1,P12="S"),IF(Q12=3,1,IF(Q12=2,0.6,IF(Q12=1,0.3,0))),"")</f>
        <v/>
      </c>
      <c r="V12" s="335"/>
      <c r="W12" s="335"/>
      <c r="X12" s="171" t="str">
        <f t="shared" ref="X12:X17" si="9">IF($F12=1,IF(V12=3,1,IF(V12=2,0.6,IF(V12=1,0.3,0))),"")</f>
        <v/>
      </c>
      <c r="Y12" s="336" t="str">
        <f t="shared" ref="Y12:Y17" si="10">IF(NOT(ISBLANK(D12)),IF(OR(ISNUMBER(I12),ISNUMBER(O12),ISNUMBER(U12),ISNUMBER(X12)),AVERAGE(I12,O12,U12,X12),0),"")</f>
        <v/>
      </c>
      <c r="Z12" s="329"/>
      <c r="AA12" s="337"/>
      <c r="AB12" s="337"/>
      <c r="AC12" s="337"/>
      <c r="AD12" s="337"/>
      <c r="AE12" s="337"/>
      <c r="AF12" s="337"/>
      <c r="AG12" s="338"/>
      <c r="AH12" s="243"/>
    </row>
    <row r="13" spans="1:175" ht="23.25" x14ac:dyDescent="0.25">
      <c r="A13" s="311">
        <v>8</v>
      </c>
      <c r="B13" s="674"/>
      <c r="C13" s="675"/>
      <c r="D13" s="676"/>
      <c r="E13" s="677"/>
      <c r="F13" s="164" t="str">
        <f t="shared" si="1"/>
        <v/>
      </c>
      <c r="G13" s="677"/>
      <c r="H13" s="51"/>
      <c r="I13" s="171" t="str">
        <f t="shared" si="6"/>
        <v/>
      </c>
      <c r="J13" s="51"/>
      <c r="K13" s="51"/>
      <c r="L13" s="51"/>
      <c r="M13" s="51"/>
      <c r="N13" s="51"/>
      <c r="O13" s="171" t="str">
        <f t="shared" si="7"/>
        <v/>
      </c>
      <c r="P13" s="51"/>
      <c r="Q13" s="51"/>
      <c r="R13" s="51"/>
      <c r="S13" s="51"/>
      <c r="T13" s="51"/>
      <c r="U13" s="171" t="str">
        <f t="shared" si="8"/>
        <v/>
      </c>
      <c r="V13" s="335"/>
      <c r="W13" s="335"/>
      <c r="X13" s="171" t="str">
        <f t="shared" si="9"/>
        <v/>
      </c>
      <c r="Y13" s="336" t="str">
        <f t="shared" si="10"/>
        <v/>
      </c>
      <c r="Z13" s="329"/>
      <c r="AA13" s="337"/>
      <c r="AB13" s="337"/>
      <c r="AC13" s="337"/>
      <c r="AD13" s="337"/>
      <c r="AE13" s="337"/>
      <c r="AF13" s="337"/>
      <c r="AG13" s="338"/>
      <c r="AH13" s="243"/>
    </row>
    <row r="14" spans="1:175" ht="23.25" x14ac:dyDescent="0.25">
      <c r="A14" s="311">
        <v>8</v>
      </c>
      <c r="B14" s="674"/>
      <c r="C14" s="675"/>
      <c r="D14" s="676"/>
      <c r="E14" s="677"/>
      <c r="F14" s="164" t="str">
        <f t="shared" si="1"/>
        <v/>
      </c>
      <c r="G14" s="677"/>
      <c r="H14" s="51"/>
      <c r="I14" s="171" t="str">
        <f t="shared" si="6"/>
        <v/>
      </c>
      <c r="J14" s="51"/>
      <c r="K14" s="681"/>
      <c r="L14" s="681"/>
      <c r="M14" s="681"/>
      <c r="N14" s="51"/>
      <c r="O14" s="171" t="str">
        <f t="shared" si="7"/>
        <v/>
      </c>
      <c r="P14" s="51"/>
      <c r="Q14" s="51"/>
      <c r="R14" s="51"/>
      <c r="S14" s="51"/>
      <c r="T14" s="51"/>
      <c r="U14" s="171" t="str">
        <f t="shared" si="8"/>
        <v/>
      </c>
      <c r="V14" s="335"/>
      <c r="W14" s="335"/>
      <c r="X14" s="171" t="str">
        <f t="shared" si="9"/>
        <v/>
      </c>
      <c r="Y14" s="336" t="str">
        <f t="shared" si="10"/>
        <v/>
      </c>
      <c r="Z14" s="329"/>
      <c r="AA14" s="337"/>
      <c r="AB14" s="337"/>
      <c r="AC14" s="337"/>
      <c r="AD14" s="337"/>
      <c r="AE14" s="337"/>
      <c r="AF14" s="337"/>
      <c r="AG14" s="338"/>
      <c r="AH14" s="243"/>
    </row>
    <row r="15" spans="1:175" ht="23.25" x14ac:dyDescent="0.25">
      <c r="A15" s="311">
        <v>8</v>
      </c>
      <c r="B15" s="674"/>
      <c r="C15" s="675"/>
      <c r="D15" s="676"/>
      <c r="E15" s="677"/>
      <c r="F15" s="164" t="str">
        <f t="shared" si="1"/>
        <v/>
      </c>
      <c r="G15" s="677"/>
      <c r="H15" s="51"/>
      <c r="I15" s="171" t="str">
        <f t="shared" si="6"/>
        <v/>
      </c>
      <c r="J15" s="51"/>
      <c r="K15" s="681"/>
      <c r="L15" s="681"/>
      <c r="M15" s="51"/>
      <c r="N15" s="51"/>
      <c r="O15" s="171" t="str">
        <f t="shared" si="7"/>
        <v/>
      </c>
      <c r="P15" s="51"/>
      <c r="Q15" s="51"/>
      <c r="R15" s="51"/>
      <c r="S15" s="51"/>
      <c r="T15" s="51"/>
      <c r="U15" s="171" t="str">
        <f t="shared" si="8"/>
        <v/>
      </c>
      <c r="V15" s="335"/>
      <c r="W15" s="51"/>
      <c r="X15" s="171" t="str">
        <f t="shared" si="9"/>
        <v/>
      </c>
      <c r="Y15" s="336" t="str">
        <f t="shared" si="10"/>
        <v/>
      </c>
      <c r="Z15" s="329"/>
      <c r="AA15" s="337"/>
      <c r="AB15" s="337"/>
      <c r="AC15" s="337"/>
      <c r="AD15" s="337"/>
      <c r="AE15" s="337"/>
      <c r="AF15" s="337"/>
      <c r="AG15" s="338"/>
      <c r="AH15" s="243"/>
    </row>
    <row r="16" spans="1:175" ht="20.25" x14ac:dyDescent="0.25">
      <c r="A16" s="311">
        <v>8</v>
      </c>
      <c r="B16" s="674"/>
      <c r="C16" s="675"/>
      <c r="D16" s="676"/>
      <c r="E16" s="677"/>
      <c r="F16" s="164" t="str">
        <f t="shared" si="1"/>
        <v/>
      </c>
      <c r="G16" s="677"/>
      <c r="H16" s="51"/>
      <c r="I16" s="171" t="str">
        <f t="shared" si="6"/>
        <v/>
      </c>
      <c r="J16" s="51"/>
      <c r="K16" s="51"/>
      <c r="L16" s="51"/>
      <c r="M16" s="51"/>
      <c r="N16" s="51"/>
      <c r="O16" s="171" t="str">
        <f t="shared" si="7"/>
        <v/>
      </c>
      <c r="P16" s="51"/>
      <c r="Q16" s="51"/>
      <c r="R16" s="51"/>
      <c r="S16" s="51"/>
      <c r="T16" s="51"/>
      <c r="U16" s="171" t="str">
        <f t="shared" si="8"/>
        <v/>
      </c>
      <c r="V16" s="335"/>
      <c r="W16" s="335"/>
      <c r="X16" s="171" t="str">
        <f t="shared" si="9"/>
        <v/>
      </c>
      <c r="Y16" s="336" t="str">
        <f t="shared" si="10"/>
        <v/>
      </c>
      <c r="Z16" s="329"/>
      <c r="AA16" s="337"/>
      <c r="AB16" s="337"/>
      <c r="AC16" s="337"/>
      <c r="AD16" s="337"/>
      <c r="AE16" s="337"/>
      <c r="AF16" s="337"/>
      <c r="AG16" s="338"/>
      <c r="AH16" s="243"/>
    </row>
    <row r="17" spans="1:34" ht="20.25" x14ac:dyDescent="0.25">
      <c r="A17" s="311">
        <v>8</v>
      </c>
      <c r="B17" s="674"/>
      <c r="C17" s="675"/>
      <c r="D17" s="676"/>
      <c r="E17" s="677"/>
      <c r="F17" s="164" t="str">
        <f t="shared" si="1"/>
        <v/>
      </c>
      <c r="G17" s="677"/>
      <c r="H17" s="51"/>
      <c r="I17" s="171" t="str">
        <f t="shared" si="6"/>
        <v/>
      </c>
      <c r="J17" s="51"/>
      <c r="K17" s="51"/>
      <c r="L17" s="51"/>
      <c r="M17" s="51"/>
      <c r="N17" s="51"/>
      <c r="O17" s="171" t="str">
        <f t="shared" si="7"/>
        <v/>
      </c>
      <c r="P17" s="51"/>
      <c r="Q17" s="51"/>
      <c r="R17" s="51"/>
      <c r="S17" s="51"/>
      <c r="T17" s="51"/>
      <c r="U17" s="171" t="str">
        <f t="shared" si="8"/>
        <v/>
      </c>
      <c r="V17" s="335"/>
      <c r="W17" s="335"/>
      <c r="X17" s="171" t="str">
        <f t="shared" si="9"/>
        <v/>
      </c>
      <c r="Y17" s="336" t="str">
        <f t="shared" si="10"/>
        <v/>
      </c>
      <c r="Z17" s="329"/>
      <c r="AA17" s="337"/>
      <c r="AB17" s="337"/>
      <c r="AC17" s="337"/>
      <c r="AD17" s="337"/>
      <c r="AE17" s="337"/>
      <c r="AF17" s="337"/>
      <c r="AG17" s="338"/>
      <c r="AH17" s="243"/>
    </row>
    <row r="18" spans="1:34" ht="21.95" customHeight="1" x14ac:dyDescent="0.25">
      <c r="A18" s="311">
        <v>8</v>
      </c>
      <c r="B18" s="674"/>
      <c r="C18" s="675"/>
      <c r="D18" s="676"/>
      <c r="E18" s="677"/>
      <c r="F18" s="164" t="str">
        <f t="shared" si="1"/>
        <v/>
      </c>
      <c r="G18" s="677"/>
      <c r="H18" s="51"/>
      <c r="I18" s="171" t="str">
        <f t="shared" si="2"/>
        <v/>
      </c>
      <c r="J18" s="51"/>
      <c r="K18" s="51"/>
      <c r="L18" s="51"/>
      <c r="M18" s="51"/>
      <c r="N18" s="51"/>
      <c r="O18" s="171" t="str">
        <f t="shared" si="3"/>
        <v/>
      </c>
      <c r="P18" s="51"/>
      <c r="Q18" s="51"/>
      <c r="R18" s="51"/>
      <c r="S18" s="51"/>
      <c r="T18" s="51"/>
      <c r="U18" s="171" t="str">
        <f t="shared" si="4"/>
        <v/>
      </c>
      <c r="V18" s="335"/>
      <c r="W18" s="335"/>
      <c r="X18" s="171" t="str">
        <f t="shared" si="5"/>
        <v/>
      </c>
      <c r="Y18" s="336" t="str">
        <f t="shared" si="0"/>
        <v/>
      </c>
      <c r="Z18" s="329"/>
      <c r="AA18" s="337"/>
      <c r="AB18" s="337"/>
      <c r="AC18" s="337"/>
      <c r="AD18" s="337"/>
      <c r="AE18" s="337"/>
      <c r="AF18" s="337"/>
      <c r="AG18" s="338"/>
      <c r="AH18" s="243"/>
    </row>
    <row r="19" spans="1:34" ht="20.85" customHeight="1" x14ac:dyDescent="0.25">
      <c r="A19" s="311">
        <v>8</v>
      </c>
      <c r="B19" s="674"/>
      <c r="C19" s="675"/>
      <c r="D19" s="676"/>
      <c r="E19" s="677"/>
      <c r="F19" s="164" t="str">
        <f t="shared" si="1"/>
        <v/>
      </c>
      <c r="G19" s="677"/>
      <c r="H19" s="51"/>
      <c r="I19" s="171" t="str">
        <f t="shared" ref="I19:I27" si="11">IF(G19="S",IF(H19=3,1,IF(H19=2,0.6,IF(H19=1,0.3,0))),"")</f>
        <v/>
      </c>
      <c r="J19" s="51"/>
      <c r="K19" s="51"/>
      <c r="L19" s="51"/>
      <c r="M19" s="51"/>
      <c r="N19" s="51"/>
      <c r="O19" s="171" t="str">
        <f t="shared" ref="O19:O27" si="12">IF(AND($F19=1,J19="S"),IF(K19=3,1,IF(K19=2,0.6,IF(K19=1,0.3,0))),"")</f>
        <v/>
      </c>
      <c r="P19" s="51"/>
      <c r="Q19" s="51"/>
      <c r="R19" s="51"/>
      <c r="S19" s="51"/>
      <c r="T19" s="51"/>
      <c r="U19" s="171" t="str">
        <f t="shared" ref="U19:U27" si="13">IF(AND($F19=1,P19="S"),IF(Q19=3,1,IF(Q19=2,0.6,IF(Q19=1,0.3,0))),"")</f>
        <v/>
      </c>
      <c r="V19" s="335"/>
      <c r="W19" s="335"/>
      <c r="X19" s="171" t="str">
        <f t="shared" ref="X19:X27" si="14">IF($F19=1,IF(V19=3,1,IF(V19=2,0.6,IF(V19=1,0.3,0))),"")</f>
        <v/>
      </c>
      <c r="Y19" s="336" t="str">
        <f t="shared" ref="Y19:Y27" si="15">IF(NOT(ISBLANK(D19)),IF(OR(ISNUMBER(I19),ISNUMBER(O19),ISNUMBER(U19),ISNUMBER(X19)),AVERAGE(I19,O19,U19,X19),0),"")</f>
        <v/>
      </c>
      <c r="Z19" s="329"/>
      <c r="AA19" s="337"/>
      <c r="AB19" s="297"/>
      <c r="AC19" s="337"/>
      <c r="AD19" s="337"/>
      <c r="AE19" s="337"/>
      <c r="AF19" s="337"/>
      <c r="AG19" s="338"/>
      <c r="AH19" s="243"/>
    </row>
    <row r="20" spans="1:34" ht="33.75" customHeight="1" x14ac:dyDescent="0.25">
      <c r="A20" s="311">
        <v>8</v>
      </c>
      <c r="B20" s="674"/>
      <c r="C20" s="675"/>
      <c r="D20" s="676"/>
      <c r="E20" s="677"/>
      <c r="F20" s="164" t="str">
        <f t="shared" si="1"/>
        <v/>
      </c>
      <c r="G20" s="677"/>
      <c r="H20" s="51"/>
      <c r="I20" s="171" t="str">
        <f t="shared" si="11"/>
        <v/>
      </c>
      <c r="J20" s="51"/>
      <c r="K20" s="51"/>
      <c r="L20" s="51"/>
      <c r="M20" s="51"/>
      <c r="N20" s="51"/>
      <c r="O20" s="171" t="str">
        <f t="shared" si="12"/>
        <v/>
      </c>
      <c r="P20" s="51"/>
      <c r="Q20" s="51"/>
      <c r="R20" s="51"/>
      <c r="S20" s="51"/>
      <c r="T20" s="51"/>
      <c r="U20" s="171" t="str">
        <f t="shared" si="13"/>
        <v/>
      </c>
      <c r="V20" s="335"/>
      <c r="W20" s="335"/>
      <c r="X20" s="171" t="str">
        <f t="shared" si="14"/>
        <v/>
      </c>
      <c r="Y20" s="336" t="str">
        <f t="shared" si="15"/>
        <v/>
      </c>
      <c r="Z20" s="329"/>
      <c r="AA20" s="337"/>
      <c r="AB20" s="337"/>
      <c r="AC20" s="337"/>
      <c r="AD20" s="337"/>
      <c r="AE20" s="337"/>
      <c r="AF20" s="337"/>
      <c r="AG20" s="338"/>
      <c r="AH20" s="243"/>
    </row>
    <row r="21" spans="1:34" ht="37.5" customHeight="1" x14ac:dyDescent="0.25">
      <c r="A21" s="311">
        <v>8</v>
      </c>
      <c r="B21" s="674"/>
      <c r="C21" s="675"/>
      <c r="D21" s="676"/>
      <c r="E21" s="677"/>
      <c r="F21" s="164" t="str">
        <f t="shared" si="1"/>
        <v/>
      </c>
      <c r="G21" s="677"/>
      <c r="H21" s="51"/>
      <c r="I21" s="171" t="str">
        <f t="shared" si="11"/>
        <v/>
      </c>
      <c r="J21" s="51"/>
      <c r="K21" s="51"/>
      <c r="L21" s="51"/>
      <c r="M21" s="51"/>
      <c r="N21" s="51"/>
      <c r="O21" s="171" t="str">
        <f t="shared" si="12"/>
        <v/>
      </c>
      <c r="P21" s="51"/>
      <c r="Q21" s="51"/>
      <c r="R21" s="51"/>
      <c r="S21" s="51"/>
      <c r="T21" s="51"/>
      <c r="U21" s="171" t="str">
        <f t="shared" si="13"/>
        <v/>
      </c>
      <c r="V21" s="335"/>
      <c r="W21" s="335"/>
      <c r="X21" s="171" t="str">
        <f t="shared" si="14"/>
        <v/>
      </c>
      <c r="Y21" s="336" t="str">
        <f t="shared" si="15"/>
        <v/>
      </c>
      <c r="Z21" s="329"/>
      <c r="AA21" s="337"/>
      <c r="AB21" s="337"/>
      <c r="AC21" s="337"/>
      <c r="AD21" s="337"/>
      <c r="AE21" s="337"/>
      <c r="AF21" s="337"/>
      <c r="AG21" s="338"/>
      <c r="AH21" s="243"/>
    </row>
    <row r="22" spans="1:34" ht="20.25" x14ac:dyDescent="0.25">
      <c r="A22" s="311">
        <v>8</v>
      </c>
      <c r="B22" s="674"/>
      <c r="C22" s="675"/>
      <c r="D22" s="676"/>
      <c r="E22" s="677"/>
      <c r="F22" s="164" t="str">
        <f t="shared" si="1"/>
        <v/>
      </c>
      <c r="G22" s="677"/>
      <c r="H22" s="51"/>
      <c r="I22" s="171" t="str">
        <f t="shared" si="11"/>
        <v/>
      </c>
      <c r="J22" s="51"/>
      <c r="K22" s="51"/>
      <c r="L22" s="51"/>
      <c r="M22" s="51"/>
      <c r="N22" s="51"/>
      <c r="O22" s="171" t="str">
        <f t="shared" si="12"/>
        <v/>
      </c>
      <c r="P22" s="51"/>
      <c r="Q22" s="51"/>
      <c r="R22" s="51"/>
      <c r="S22" s="51"/>
      <c r="T22" s="51"/>
      <c r="U22" s="171" t="str">
        <f t="shared" si="13"/>
        <v/>
      </c>
      <c r="V22" s="335"/>
      <c r="W22" s="335"/>
      <c r="X22" s="171" t="str">
        <f t="shared" si="14"/>
        <v/>
      </c>
      <c r="Y22" s="336" t="str">
        <f t="shared" si="15"/>
        <v/>
      </c>
      <c r="Z22" s="329"/>
      <c r="AA22" s="337"/>
      <c r="AB22" s="337"/>
      <c r="AC22" s="337"/>
      <c r="AD22" s="337"/>
      <c r="AE22" s="337"/>
      <c r="AF22" s="337"/>
      <c r="AG22" s="338"/>
      <c r="AH22" s="243"/>
    </row>
    <row r="23" spans="1:34" ht="15.75" x14ac:dyDescent="0.25">
      <c r="A23" s="311">
        <v>8</v>
      </c>
      <c r="B23" s="161"/>
      <c r="C23" s="333"/>
      <c r="D23" s="676"/>
      <c r="E23" s="677"/>
      <c r="F23" s="164" t="str">
        <f t="shared" si="1"/>
        <v/>
      </c>
      <c r="G23" s="51"/>
      <c r="H23" s="51"/>
      <c r="I23" s="171" t="str">
        <f t="shared" si="11"/>
        <v/>
      </c>
      <c r="J23" s="51"/>
      <c r="K23" s="51"/>
      <c r="L23" s="51"/>
      <c r="M23" s="51"/>
      <c r="N23" s="51"/>
      <c r="O23" s="171" t="str">
        <f t="shared" si="12"/>
        <v/>
      </c>
      <c r="P23" s="51"/>
      <c r="Q23" s="51"/>
      <c r="R23" s="51"/>
      <c r="S23" s="51"/>
      <c r="T23" s="51"/>
      <c r="U23" s="171" t="str">
        <f t="shared" si="13"/>
        <v/>
      </c>
      <c r="V23" s="335"/>
      <c r="W23" s="335"/>
      <c r="X23" s="171" t="str">
        <f t="shared" si="14"/>
        <v/>
      </c>
      <c r="Y23" s="336" t="str">
        <f t="shared" si="15"/>
        <v/>
      </c>
      <c r="Z23" s="329"/>
      <c r="AA23" s="337"/>
      <c r="AB23" s="337"/>
      <c r="AC23" s="337"/>
      <c r="AD23" s="337"/>
      <c r="AE23" s="337"/>
      <c r="AF23" s="337"/>
      <c r="AG23" s="338"/>
      <c r="AH23" s="243"/>
    </row>
    <row r="24" spans="1:34" ht="15.75" x14ac:dyDescent="0.25">
      <c r="A24" s="311">
        <v>8</v>
      </c>
      <c r="B24" s="161"/>
      <c r="C24" s="333"/>
      <c r="D24" s="334"/>
      <c r="E24" s="51"/>
      <c r="F24" s="164" t="str">
        <f t="shared" si="1"/>
        <v/>
      </c>
      <c r="G24" s="51"/>
      <c r="H24" s="51"/>
      <c r="I24" s="171" t="str">
        <f t="shared" si="11"/>
        <v/>
      </c>
      <c r="J24" s="51"/>
      <c r="K24" s="51"/>
      <c r="L24" s="51"/>
      <c r="M24" s="51"/>
      <c r="N24" s="51"/>
      <c r="O24" s="171" t="str">
        <f t="shared" si="12"/>
        <v/>
      </c>
      <c r="P24" s="51"/>
      <c r="Q24" s="51"/>
      <c r="R24" s="51"/>
      <c r="S24" s="51"/>
      <c r="T24" s="51"/>
      <c r="U24" s="171" t="str">
        <f t="shared" si="13"/>
        <v/>
      </c>
      <c r="V24" s="335"/>
      <c r="W24" s="335"/>
      <c r="X24" s="171" t="str">
        <f t="shared" si="14"/>
        <v/>
      </c>
      <c r="Y24" s="336" t="str">
        <f t="shared" si="15"/>
        <v/>
      </c>
      <c r="Z24" s="329"/>
      <c r="AA24" s="337"/>
      <c r="AB24" s="337"/>
      <c r="AC24" s="337"/>
      <c r="AD24" s="337"/>
      <c r="AE24" s="337"/>
      <c r="AF24" s="337"/>
      <c r="AG24" s="338"/>
      <c r="AH24" s="243"/>
    </row>
    <row r="25" spans="1:34" ht="15.75" x14ac:dyDescent="0.25">
      <c r="A25" s="311">
        <v>8</v>
      </c>
      <c r="B25" s="161"/>
      <c r="C25" s="333"/>
      <c r="D25" s="334"/>
      <c r="E25" s="51"/>
      <c r="F25" s="164" t="str">
        <f t="shared" si="1"/>
        <v/>
      </c>
      <c r="G25" s="51"/>
      <c r="H25" s="51"/>
      <c r="I25" s="171" t="str">
        <f t="shared" si="11"/>
        <v/>
      </c>
      <c r="J25" s="51"/>
      <c r="K25" s="51"/>
      <c r="L25" s="51"/>
      <c r="M25" s="51"/>
      <c r="N25" s="51"/>
      <c r="O25" s="171" t="str">
        <f t="shared" si="12"/>
        <v/>
      </c>
      <c r="P25" s="51"/>
      <c r="Q25" s="51"/>
      <c r="R25" s="51"/>
      <c r="S25" s="51"/>
      <c r="T25" s="51"/>
      <c r="U25" s="171" t="str">
        <f t="shared" si="13"/>
        <v/>
      </c>
      <c r="V25" s="335"/>
      <c r="W25" s="335"/>
      <c r="X25" s="171" t="str">
        <f t="shared" si="14"/>
        <v/>
      </c>
      <c r="Y25" s="336" t="str">
        <f t="shared" si="15"/>
        <v/>
      </c>
      <c r="Z25" s="329"/>
      <c r="AA25" s="337"/>
      <c r="AB25" s="337"/>
      <c r="AC25" s="337"/>
      <c r="AD25" s="337"/>
      <c r="AE25" s="337"/>
      <c r="AF25" s="337"/>
      <c r="AG25" s="338"/>
      <c r="AH25" s="243"/>
    </row>
    <row r="26" spans="1:34" ht="15.75" x14ac:dyDescent="0.25">
      <c r="A26" s="311">
        <v>8</v>
      </c>
      <c r="B26" s="161"/>
      <c r="C26" s="333"/>
      <c r="D26" s="334"/>
      <c r="E26" s="51"/>
      <c r="F26" s="164" t="str">
        <f t="shared" si="1"/>
        <v/>
      </c>
      <c r="G26" s="51"/>
      <c r="H26" s="51"/>
      <c r="I26" s="171" t="str">
        <f t="shared" si="11"/>
        <v/>
      </c>
      <c r="J26" s="51"/>
      <c r="K26" s="51"/>
      <c r="L26" s="51"/>
      <c r="M26" s="51"/>
      <c r="N26" s="51"/>
      <c r="O26" s="171" t="str">
        <f t="shared" si="12"/>
        <v/>
      </c>
      <c r="P26" s="51"/>
      <c r="Q26" s="51"/>
      <c r="R26" s="51"/>
      <c r="S26" s="51"/>
      <c r="T26" s="51"/>
      <c r="U26" s="171" t="str">
        <f t="shared" si="13"/>
        <v/>
      </c>
      <c r="V26" s="335"/>
      <c r="W26" s="335"/>
      <c r="X26" s="171" t="str">
        <f t="shared" si="14"/>
        <v/>
      </c>
      <c r="Y26" s="336" t="str">
        <f t="shared" si="15"/>
        <v/>
      </c>
      <c r="Z26" s="329"/>
      <c r="AA26" s="337"/>
      <c r="AB26" s="337"/>
      <c r="AC26" s="337"/>
      <c r="AD26" s="337"/>
      <c r="AE26" s="337"/>
      <c r="AF26" s="337"/>
      <c r="AG26" s="338"/>
      <c r="AH26" s="243"/>
    </row>
    <row r="27" spans="1:34" ht="21.95" customHeight="1" x14ac:dyDescent="0.25">
      <c r="A27" s="311">
        <v>8</v>
      </c>
      <c r="B27" s="161"/>
      <c r="C27" s="333"/>
      <c r="D27" s="334"/>
      <c r="E27" s="51"/>
      <c r="F27" s="164" t="str">
        <f t="shared" si="1"/>
        <v/>
      </c>
      <c r="G27" s="51"/>
      <c r="H27" s="51"/>
      <c r="I27" s="171" t="str">
        <f t="shared" si="11"/>
        <v/>
      </c>
      <c r="J27" s="51"/>
      <c r="K27" s="51"/>
      <c r="L27" s="51"/>
      <c r="M27" s="51"/>
      <c r="N27" s="51"/>
      <c r="O27" s="171" t="str">
        <f t="shared" si="12"/>
        <v/>
      </c>
      <c r="P27" s="51"/>
      <c r="Q27" s="51"/>
      <c r="R27" s="51"/>
      <c r="S27" s="51"/>
      <c r="T27" s="51"/>
      <c r="U27" s="171" t="str">
        <f t="shared" si="13"/>
        <v/>
      </c>
      <c r="V27" s="335"/>
      <c r="W27" s="335"/>
      <c r="X27" s="171" t="str">
        <f t="shared" si="14"/>
        <v/>
      </c>
      <c r="Y27" s="336" t="str">
        <f t="shared" si="15"/>
        <v/>
      </c>
      <c r="Z27" s="329"/>
      <c r="AA27" s="337"/>
      <c r="AB27" s="337"/>
      <c r="AC27" s="337"/>
      <c r="AD27" s="337"/>
      <c r="AE27" s="337"/>
      <c r="AF27" s="337"/>
      <c r="AG27" s="338"/>
      <c r="AH27" s="243"/>
    </row>
    <row r="28" spans="1:34" ht="20.100000000000001" customHeight="1" x14ac:dyDescent="0.25">
      <c r="A28" s="311">
        <v>8</v>
      </c>
      <c r="B28" s="161"/>
      <c r="C28" s="333"/>
      <c r="D28" s="334"/>
      <c r="E28" s="51"/>
      <c r="F28" s="164" t="str">
        <f t="shared" si="1"/>
        <v/>
      </c>
      <c r="G28" s="51"/>
      <c r="H28" s="51"/>
      <c r="I28" s="171" t="str">
        <f t="shared" si="2"/>
        <v/>
      </c>
      <c r="J28" s="51"/>
      <c r="K28" s="51"/>
      <c r="L28" s="51"/>
      <c r="M28" s="51"/>
      <c r="N28" s="51"/>
      <c r="O28" s="171" t="str">
        <f t="shared" si="3"/>
        <v/>
      </c>
      <c r="P28" s="51"/>
      <c r="Q28" s="51"/>
      <c r="R28" s="51"/>
      <c r="S28" s="51"/>
      <c r="T28" s="51"/>
      <c r="U28" s="171" t="str">
        <f t="shared" si="4"/>
        <v/>
      </c>
      <c r="V28" s="335"/>
      <c r="W28" s="335"/>
      <c r="X28" s="171" t="str">
        <f t="shared" si="5"/>
        <v/>
      </c>
      <c r="Y28" s="336" t="str">
        <f t="shared" si="0"/>
        <v/>
      </c>
      <c r="Z28" s="329"/>
      <c r="AA28" s="337"/>
      <c r="AB28" s="337"/>
      <c r="AC28" s="337"/>
      <c r="AD28" s="337"/>
      <c r="AE28" s="337"/>
      <c r="AF28" s="337"/>
      <c r="AG28" s="338"/>
      <c r="AH28" s="243"/>
    </row>
    <row r="29" spans="1:34" ht="15.75" x14ac:dyDescent="0.25">
      <c r="A29" s="311">
        <v>8</v>
      </c>
      <c r="B29" s="161"/>
      <c r="C29" s="333"/>
      <c r="D29" s="334"/>
      <c r="E29" s="51"/>
      <c r="F29" s="164" t="str">
        <f t="shared" si="1"/>
        <v/>
      </c>
      <c r="G29" s="51"/>
      <c r="H29" s="51"/>
      <c r="I29" s="171" t="str">
        <f t="shared" si="2"/>
        <v/>
      </c>
      <c r="J29" s="51"/>
      <c r="K29" s="51"/>
      <c r="L29" s="51"/>
      <c r="M29" s="51"/>
      <c r="N29" s="51"/>
      <c r="O29" s="171" t="str">
        <f t="shared" si="3"/>
        <v/>
      </c>
      <c r="P29" s="51"/>
      <c r="Q29" s="51"/>
      <c r="R29" s="51"/>
      <c r="S29" s="51"/>
      <c r="T29" s="51"/>
      <c r="U29" s="171" t="str">
        <f t="shared" si="4"/>
        <v/>
      </c>
      <c r="V29" s="335"/>
      <c r="W29" s="335"/>
      <c r="X29" s="171" t="str">
        <f t="shared" si="5"/>
        <v/>
      </c>
      <c r="Y29" s="336" t="str">
        <f t="shared" si="0"/>
        <v/>
      </c>
      <c r="Z29" s="329"/>
      <c r="AA29" s="337"/>
      <c r="AB29" s="337"/>
      <c r="AC29" s="337"/>
      <c r="AD29" s="337"/>
      <c r="AE29" s="337"/>
      <c r="AF29" s="337"/>
      <c r="AG29" s="338"/>
      <c r="AH29" s="243"/>
    </row>
    <row r="30" spans="1:34" ht="15.75" x14ac:dyDescent="0.25">
      <c r="A30" s="311">
        <v>8</v>
      </c>
      <c r="B30" s="161"/>
      <c r="C30" s="333"/>
      <c r="D30" s="334"/>
      <c r="E30" s="51"/>
      <c r="F30" s="164" t="str">
        <f t="shared" si="1"/>
        <v/>
      </c>
      <c r="G30" s="51"/>
      <c r="H30" s="51"/>
      <c r="I30" s="171" t="str">
        <f t="shared" si="2"/>
        <v/>
      </c>
      <c r="J30" s="51"/>
      <c r="K30" s="51"/>
      <c r="L30" s="51"/>
      <c r="M30" s="51"/>
      <c r="N30" s="51"/>
      <c r="O30" s="171" t="str">
        <f t="shared" si="3"/>
        <v/>
      </c>
      <c r="P30" s="51"/>
      <c r="Q30" s="51"/>
      <c r="R30" s="51"/>
      <c r="S30" s="51"/>
      <c r="T30" s="51"/>
      <c r="U30" s="171" t="str">
        <f t="shared" si="4"/>
        <v/>
      </c>
      <c r="V30" s="335"/>
      <c r="W30" s="335"/>
      <c r="X30" s="171" t="str">
        <f t="shared" si="5"/>
        <v/>
      </c>
      <c r="Y30" s="336" t="str">
        <f t="shared" si="0"/>
        <v/>
      </c>
      <c r="Z30" s="329"/>
      <c r="AA30" s="337"/>
      <c r="AB30" s="337"/>
      <c r="AC30" s="337"/>
      <c r="AD30" s="337"/>
      <c r="AE30" s="337"/>
      <c r="AF30" s="337"/>
      <c r="AG30" s="338"/>
      <c r="AH30" s="243"/>
    </row>
    <row r="31" spans="1:34" ht="15.75" x14ac:dyDescent="0.25">
      <c r="A31" s="311">
        <v>8</v>
      </c>
      <c r="B31" s="161"/>
      <c r="C31" s="333"/>
      <c r="D31" s="334"/>
      <c r="E31" s="51"/>
      <c r="F31" s="164" t="str">
        <f t="shared" si="1"/>
        <v/>
      </c>
      <c r="G31" s="51"/>
      <c r="H31" s="51"/>
      <c r="I31" s="171" t="str">
        <f t="shared" si="2"/>
        <v/>
      </c>
      <c r="J31" s="51"/>
      <c r="K31" s="51"/>
      <c r="L31" s="51"/>
      <c r="M31" s="51"/>
      <c r="N31" s="51"/>
      <c r="O31" s="171" t="str">
        <f t="shared" si="3"/>
        <v/>
      </c>
      <c r="P31" s="51"/>
      <c r="Q31" s="51"/>
      <c r="R31" s="51"/>
      <c r="S31" s="51"/>
      <c r="T31" s="51"/>
      <c r="U31" s="171" t="str">
        <f t="shared" si="4"/>
        <v/>
      </c>
      <c r="V31" s="335"/>
      <c r="W31" s="335"/>
      <c r="X31" s="171" t="str">
        <f t="shared" si="5"/>
        <v/>
      </c>
      <c r="Y31" s="336" t="str">
        <f t="shared" si="0"/>
        <v/>
      </c>
      <c r="Z31" s="329"/>
      <c r="AA31" s="337"/>
      <c r="AB31" s="337"/>
      <c r="AC31" s="337"/>
      <c r="AD31" s="337"/>
      <c r="AE31" s="337"/>
      <c r="AF31" s="337"/>
      <c r="AG31" s="338"/>
      <c r="AH31" s="243"/>
    </row>
    <row r="32" spans="1:34" ht="15.75" x14ac:dyDescent="0.25">
      <c r="A32" s="311">
        <v>8</v>
      </c>
      <c r="B32" s="161"/>
      <c r="C32" s="333"/>
      <c r="D32" s="334"/>
      <c r="E32" s="51"/>
      <c r="F32" s="164" t="str">
        <f t="shared" si="1"/>
        <v/>
      </c>
      <c r="G32" s="51"/>
      <c r="H32" s="51"/>
      <c r="I32" s="171" t="str">
        <f t="shared" si="2"/>
        <v/>
      </c>
      <c r="J32" s="51"/>
      <c r="K32" s="51"/>
      <c r="L32" s="51"/>
      <c r="M32" s="51"/>
      <c r="N32" s="51"/>
      <c r="O32" s="171" t="str">
        <f t="shared" si="3"/>
        <v/>
      </c>
      <c r="P32" s="51"/>
      <c r="Q32" s="51"/>
      <c r="R32" s="51"/>
      <c r="S32" s="51"/>
      <c r="T32" s="51"/>
      <c r="U32" s="171" t="str">
        <f t="shared" si="4"/>
        <v/>
      </c>
      <c r="V32" s="335"/>
      <c r="W32" s="335"/>
      <c r="X32" s="171" t="str">
        <f t="shared" si="5"/>
        <v/>
      </c>
      <c r="Y32" s="336" t="str">
        <f t="shared" si="0"/>
        <v/>
      </c>
      <c r="Z32" s="329"/>
      <c r="AA32" s="337"/>
      <c r="AB32" s="337"/>
      <c r="AC32" s="337"/>
      <c r="AD32" s="337"/>
      <c r="AE32" s="337"/>
      <c r="AF32" s="337"/>
      <c r="AG32" s="338"/>
      <c r="AH32" s="243"/>
    </row>
    <row r="33" spans="1:34" ht="15.75" x14ac:dyDescent="0.25">
      <c r="A33" s="311">
        <v>8</v>
      </c>
      <c r="B33" s="161"/>
      <c r="C33" s="333"/>
      <c r="D33" s="334"/>
      <c r="E33" s="51"/>
      <c r="F33" s="164" t="str">
        <f t="shared" si="1"/>
        <v/>
      </c>
      <c r="G33" s="51"/>
      <c r="H33" s="51"/>
      <c r="I33" s="171" t="str">
        <f t="shared" si="2"/>
        <v/>
      </c>
      <c r="J33" s="51"/>
      <c r="K33" s="51"/>
      <c r="L33" s="51"/>
      <c r="M33" s="51"/>
      <c r="N33" s="51"/>
      <c r="O33" s="171" t="str">
        <f t="shared" si="3"/>
        <v/>
      </c>
      <c r="P33" s="51"/>
      <c r="Q33" s="51"/>
      <c r="R33" s="51"/>
      <c r="S33" s="51"/>
      <c r="T33" s="51"/>
      <c r="U33" s="171" t="str">
        <f t="shared" si="4"/>
        <v/>
      </c>
      <c r="V33" s="335"/>
      <c r="W33" s="335"/>
      <c r="X33" s="171" t="str">
        <f t="shared" si="5"/>
        <v/>
      </c>
      <c r="Y33" s="336" t="str">
        <f t="shared" si="0"/>
        <v/>
      </c>
      <c r="Z33" s="329"/>
      <c r="AA33" s="337"/>
      <c r="AB33" s="337"/>
      <c r="AC33" s="337"/>
      <c r="AD33" s="337"/>
      <c r="AE33" s="337"/>
      <c r="AF33" s="337"/>
      <c r="AG33" s="338"/>
      <c r="AH33" s="243"/>
    </row>
    <row r="34" spans="1:34" ht="20.85" customHeight="1" x14ac:dyDescent="0.25">
      <c r="A34" s="311">
        <v>8</v>
      </c>
      <c r="B34" s="161"/>
      <c r="C34" s="333"/>
      <c r="D34" s="334"/>
      <c r="E34" s="51"/>
      <c r="F34" s="164" t="str">
        <f t="shared" si="1"/>
        <v/>
      </c>
      <c r="G34" s="51"/>
      <c r="H34" s="51"/>
      <c r="I34" s="171" t="str">
        <f t="shared" si="2"/>
        <v/>
      </c>
      <c r="J34" s="51"/>
      <c r="K34" s="51"/>
      <c r="L34" s="51"/>
      <c r="M34" s="51"/>
      <c r="N34" s="51"/>
      <c r="O34" s="171" t="str">
        <f t="shared" si="3"/>
        <v/>
      </c>
      <c r="P34" s="51"/>
      <c r="Q34" s="51"/>
      <c r="R34" s="51"/>
      <c r="S34" s="51"/>
      <c r="T34" s="51"/>
      <c r="U34" s="171" t="str">
        <f t="shared" si="4"/>
        <v/>
      </c>
      <c r="V34" s="335"/>
      <c r="W34" s="335"/>
      <c r="X34" s="171" t="str">
        <f t="shared" si="5"/>
        <v/>
      </c>
      <c r="Y34" s="336" t="str">
        <f t="shared" si="0"/>
        <v/>
      </c>
      <c r="Z34" s="329"/>
      <c r="AA34" s="337"/>
      <c r="AB34" s="297"/>
      <c r="AC34" s="337"/>
      <c r="AD34" s="337"/>
      <c r="AE34" s="337"/>
      <c r="AF34" s="337"/>
      <c r="AG34" s="338"/>
      <c r="AH34" s="243"/>
    </row>
    <row r="35" spans="1:34" ht="18.95" customHeight="1" x14ac:dyDescent="0.25">
      <c r="A35" s="311">
        <v>8</v>
      </c>
      <c r="B35" s="161"/>
      <c r="C35" s="333"/>
      <c r="D35" s="334"/>
      <c r="E35" s="51"/>
      <c r="F35" s="164" t="str">
        <f t="shared" si="1"/>
        <v/>
      </c>
      <c r="G35" s="51"/>
      <c r="H35" s="51"/>
      <c r="I35" s="171" t="str">
        <f t="shared" si="2"/>
        <v/>
      </c>
      <c r="J35" s="51"/>
      <c r="K35" s="51"/>
      <c r="L35" s="51"/>
      <c r="M35" s="51"/>
      <c r="N35" s="51"/>
      <c r="O35" s="171" t="str">
        <f t="shared" si="3"/>
        <v/>
      </c>
      <c r="P35" s="51"/>
      <c r="Q35" s="51"/>
      <c r="R35" s="51"/>
      <c r="S35" s="51"/>
      <c r="T35" s="51"/>
      <c r="U35" s="171" t="str">
        <f t="shared" si="4"/>
        <v/>
      </c>
      <c r="V35" s="335"/>
      <c r="W35" s="335"/>
      <c r="X35" s="171" t="str">
        <f t="shared" si="5"/>
        <v/>
      </c>
      <c r="Y35" s="336" t="str">
        <f t="shared" si="0"/>
        <v/>
      </c>
      <c r="Z35" s="329"/>
      <c r="AA35" s="337"/>
      <c r="AB35" s="337"/>
      <c r="AC35" s="337"/>
      <c r="AD35" s="337"/>
      <c r="AE35" s="337"/>
      <c r="AF35" s="337"/>
      <c r="AG35" s="338"/>
      <c r="AH35" s="243"/>
    </row>
    <row r="36" spans="1:34" ht="20.100000000000001" customHeight="1" x14ac:dyDescent="0.25">
      <c r="A36" s="311">
        <v>8</v>
      </c>
      <c r="B36" s="161"/>
      <c r="C36" s="333"/>
      <c r="D36" s="334"/>
      <c r="E36" s="51"/>
      <c r="F36" s="164" t="str">
        <f t="shared" si="1"/>
        <v/>
      </c>
      <c r="G36" s="51"/>
      <c r="H36" s="51"/>
      <c r="I36" s="171" t="str">
        <f t="shared" si="2"/>
        <v/>
      </c>
      <c r="J36" s="51"/>
      <c r="K36" s="51"/>
      <c r="L36" s="51"/>
      <c r="M36" s="51"/>
      <c r="N36" s="51"/>
      <c r="O36" s="171" t="str">
        <f t="shared" si="3"/>
        <v/>
      </c>
      <c r="P36" s="51"/>
      <c r="Q36" s="51"/>
      <c r="R36" s="51"/>
      <c r="S36" s="51"/>
      <c r="T36" s="51"/>
      <c r="U36" s="171" t="str">
        <f t="shared" si="4"/>
        <v/>
      </c>
      <c r="V36" s="335"/>
      <c r="W36" s="335"/>
      <c r="X36" s="171" t="str">
        <f t="shared" si="5"/>
        <v/>
      </c>
      <c r="Y36" s="336" t="str">
        <f t="shared" si="0"/>
        <v/>
      </c>
      <c r="Z36" s="329"/>
      <c r="AA36" s="337"/>
      <c r="AB36" s="337"/>
      <c r="AC36" s="337"/>
      <c r="AD36" s="337"/>
      <c r="AE36" s="337"/>
      <c r="AF36" s="337"/>
      <c r="AG36" s="338"/>
      <c r="AH36" s="243"/>
    </row>
    <row r="37" spans="1:34" ht="15.75" x14ac:dyDescent="0.25">
      <c r="A37" s="311">
        <v>8</v>
      </c>
      <c r="B37" s="161"/>
      <c r="C37" s="333"/>
      <c r="D37" s="334"/>
      <c r="E37" s="51"/>
      <c r="F37" s="164" t="str">
        <f t="shared" si="1"/>
        <v/>
      </c>
      <c r="G37" s="51"/>
      <c r="H37" s="51"/>
      <c r="I37" s="171" t="str">
        <f t="shared" si="2"/>
        <v/>
      </c>
      <c r="J37" s="51"/>
      <c r="K37" s="51"/>
      <c r="L37" s="51"/>
      <c r="M37" s="51"/>
      <c r="N37" s="51"/>
      <c r="O37" s="171" t="str">
        <f t="shared" si="3"/>
        <v/>
      </c>
      <c r="P37" s="51"/>
      <c r="Q37" s="51"/>
      <c r="R37" s="51"/>
      <c r="S37" s="51"/>
      <c r="T37" s="51"/>
      <c r="U37" s="171" t="str">
        <f t="shared" si="4"/>
        <v/>
      </c>
      <c r="V37" s="335"/>
      <c r="W37" s="335"/>
      <c r="X37" s="171" t="str">
        <f t="shared" si="5"/>
        <v/>
      </c>
      <c r="Y37" s="336" t="str">
        <f t="shared" si="0"/>
        <v/>
      </c>
      <c r="Z37" s="329"/>
      <c r="AA37" s="337"/>
      <c r="AB37" s="337"/>
      <c r="AC37" s="337"/>
      <c r="AD37" s="337"/>
      <c r="AE37" s="337"/>
      <c r="AF37" s="337"/>
      <c r="AG37" s="338"/>
      <c r="AH37" s="243"/>
    </row>
    <row r="38" spans="1:34" ht="15.75" x14ac:dyDescent="0.25">
      <c r="A38" s="311">
        <v>8</v>
      </c>
      <c r="B38" s="161"/>
      <c r="C38" s="333"/>
      <c r="D38" s="334"/>
      <c r="E38" s="51"/>
      <c r="F38" s="164" t="str">
        <f t="shared" si="1"/>
        <v/>
      </c>
      <c r="G38" s="51"/>
      <c r="H38" s="51"/>
      <c r="I38" s="171" t="str">
        <f t="shared" si="2"/>
        <v/>
      </c>
      <c r="J38" s="51"/>
      <c r="K38" s="51"/>
      <c r="L38" s="51"/>
      <c r="M38" s="51"/>
      <c r="N38" s="51"/>
      <c r="O38" s="171" t="str">
        <f t="shared" si="3"/>
        <v/>
      </c>
      <c r="P38" s="51"/>
      <c r="Q38" s="51"/>
      <c r="R38" s="51"/>
      <c r="S38" s="51"/>
      <c r="T38" s="51"/>
      <c r="U38" s="171" t="str">
        <f t="shared" si="4"/>
        <v/>
      </c>
      <c r="V38" s="335"/>
      <c r="W38" s="335"/>
      <c r="X38" s="171" t="str">
        <f t="shared" si="5"/>
        <v/>
      </c>
      <c r="Y38" s="336" t="str">
        <f t="shared" si="0"/>
        <v/>
      </c>
      <c r="Z38" s="329"/>
      <c r="AA38" s="337"/>
      <c r="AB38" s="337"/>
      <c r="AC38" s="337"/>
      <c r="AD38" s="337"/>
      <c r="AE38" s="337"/>
      <c r="AF38" s="337"/>
      <c r="AG38" s="338"/>
      <c r="AH38" s="243"/>
    </row>
    <row r="39" spans="1:34" ht="15.75" x14ac:dyDescent="0.25">
      <c r="A39" s="311">
        <v>8</v>
      </c>
      <c r="B39" s="161"/>
      <c r="C39" s="333"/>
      <c r="D39" s="334"/>
      <c r="E39" s="51"/>
      <c r="F39" s="164" t="str">
        <f t="shared" si="1"/>
        <v/>
      </c>
      <c r="G39" s="51"/>
      <c r="H39" s="51"/>
      <c r="I39" s="171" t="str">
        <f t="shared" si="2"/>
        <v/>
      </c>
      <c r="J39" s="51"/>
      <c r="K39" s="51"/>
      <c r="L39" s="51"/>
      <c r="M39" s="51"/>
      <c r="N39" s="51"/>
      <c r="O39" s="171" t="str">
        <f t="shared" si="3"/>
        <v/>
      </c>
      <c r="P39" s="51"/>
      <c r="Q39" s="51"/>
      <c r="R39" s="51"/>
      <c r="S39" s="51"/>
      <c r="T39" s="51"/>
      <c r="U39" s="171" t="str">
        <f t="shared" si="4"/>
        <v/>
      </c>
      <c r="V39" s="335"/>
      <c r="W39" s="335"/>
      <c r="X39" s="171" t="str">
        <f t="shared" si="5"/>
        <v/>
      </c>
      <c r="Y39" s="336" t="str">
        <f t="shared" si="0"/>
        <v/>
      </c>
      <c r="Z39" s="329"/>
      <c r="AA39" s="337"/>
      <c r="AB39" s="337"/>
      <c r="AC39" s="337"/>
      <c r="AD39" s="337"/>
      <c r="AE39" s="337"/>
      <c r="AF39" s="337"/>
      <c r="AG39" s="338"/>
      <c r="AH39" s="243"/>
    </row>
    <row r="40" spans="1:34" ht="15.75" x14ac:dyDescent="0.25">
      <c r="A40" s="311">
        <v>8</v>
      </c>
      <c r="B40" s="161"/>
      <c r="C40" s="333"/>
      <c r="D40" s="334"/>
      <c r="E40" s="51"/>
      <c r="F40" s="164" t="str">
        <f t="shared" si="1"/>
        <v/>
      </c>
      <c r="G40" s="51"/>
      <c r="H40" s="51"/>
      <c r="I40" s="171" t="str">
        <f t="shared" si="2"/>
        <v/>
      </c>
      <c r="J40" s="51"/>
      <c r="K40" s="51"/>
      <c r="L40" s="51"/>
      <c r="M40" s="51"/>
      <c r="N40" s="51"/>
      <c r="O40" s="171" t="str">
        <f t="shared" si="3"/>
        <v/>
      </c>
      <c r="P40" s="51"/>
      <c r="Q40" s="51"/>
      <c r="R40" s="51"/>
      <c r="S40" s="51"/>
      <c r="T40" s="51"/>
      <c r="U40" s="171" t="str">
        <f t="shared" si="4"/>
        <v/>
      </c>
      <c r="V40" s="335"/>
      <c r="W40" s="335"/>
      <c r="X40" s="171" t="str">
        <f t="shared" si="5"/>
        <v/>
      </c>
      <c r="Y40" s="336" t="str">
        <f t="shared" si="0"/>
        <v/>
      </c>
      <c r="Z40" s="329"/>
      <c r="AA40" s="337"/>
      <c r="AB40" s="337"/>
      <c r="AC40" s="337"/>
      <c r="AD40" s="337"/>
      <c r="AE40" s="337"/>
      <c r="AF40" s="337"/>
      <c r="AG40" s="338"/>
      <c r="AH40" s="243"/>
    </row>
    <row r="41" spans="1:34" ht="15.75" x14ac:dyDescent="0.25">
      <c r="A41" s="311">
        <v>8</v>
      </c>
      <c r="B41" s="161"/>
      <c r="C41" s="333"/>
      <c r="D41" s="334"/>
      <c r="E41" s="51"/>
      <c r="F41" s="164" t="str">
        <f t="shared" si="1"/>
        <v/>
      </c>
      <c r="G41" s="51"/>
      <c r="H41" s="51"/>
      <c r="I41" s="171" t="str">
        <f t="shared" si="2"/>
        <v/>
      </c>
      <c r="J41" s="51"/>
      <c r="K41" s="51"/>
      <c r="L41" s="51"/>
      <c r="M41" s="51"/>
      <c r="N41" s="51"/>
      <c r="O41" s="171" t="str">
        <f t="shared" si="3"/>
        <v/>
      </c>
      <c r="P41" s="51"/>
      <c r="Q41" s="51"/>
      <c r="R41" s="51"/>
      <c r="S41" s="51"/>
      <c r="T41" s="51"/>
      <c r="U41" s="171" t="str">
        <f t="shared" si="4"/>
        <v/>
      </c>
      <c r="V41" s="335"/>
      <c r="W41" s="335"/>
      <c r="X41" s="171" t="str">
        <f t="shared" si="5"/>
        <v/>
      </c>
      <c r="Y41" s="336" t="str">
        <f t="shared" si="0"/>
        <v/>
      </c>
      <c r="Z41" s="329"/>
      <c r="AA41" s="337"/>
      <c r="AB41" s="337"/>
      <c r="AC41" s="337"/>
      <c r="AD41" s="337"/>
      <c r="AE41" s="337"/>
      <c r="AF41" s="337"/>
      <c r="AG41" s="338"/>
      <c r="AH41" s="243"/>
    </row>
    <row r="42" spans="1:34" ht="21.95" customHeight="1" x14ac:dyDescent="0.25">
      <c r="A42" s="311">
        <v>8</v>
      </c>
      <c r="B42" s="161"/>
      <c r="C42" s="333"/>
      <c r="D42" s="334"/>
      <c r="E42" s="51"/>
      <c r="F42" s="164" t="str">
        <f t="shared" si="1"/>
        <v/>
      </c>
      <c r="G42" s="51"/>
      <c r="H42" s="51"/>
      <c r="I42" s="171" t="str">
        <f t="shared" si="2"/>
        <v/>
      </c>
      <c r="J42" s="51"/>
      <c r="K42" s="51"/>
      <c r="L42" s="51"/>
      <c r="M42" s="51"/>
      <c r="N42" s="51"/>
      <c r="O42" s="171" t="str">
        <f t="shared" si="3"/>
        <v/>
      </c>
      <c r="P42" s="51"/>
      <c r="Q42" s="51"/>
      <c r="R42" s="51"/>
      <c r="S42" s="51"/>
      <c r="T42" s="51"/>
      <c r="U42" s="171" t="str">
        <f t="shared" si="4"/>
        <v/>
      </c>
      <c r="V42" s="335"/>
      <c r="W42" s="335"/>
      <c r="X42" s="171" t="str">
        <f t="shared" si="5"/>
        <v/>
      </c>
      <c r="Y42" s="336" t="str">
        <f t="shared" si="0"/>
        <v/>
      </c>
      <c r="Z42" s="329"/>
      <c r="AA42" s="337"/>
      <c r="AB42" s="337"/>
      <c r="AC42" s="337"/>
      <c r="AD42" s="337"/>
      <c r="AE42" s="337"/>
      <c r="AF42" s="337"/>
      <c r="AG42" s="338"/>
      <c r="AH42" s="243"/>
    </row>
    <row r="43" spans="1:34" ht="6.6" customHeight="1" x14ac:dyDescent="0.25">
      <c r="A43" s="339"/>
      <c r="B43" s="149"/>
      <c r="C43" s="326"/>
      <c r="D43" s="326"/>
      <c r="E43" s="150"/>
      <c r="F43" s="340"/>
      <c r="G43" s="162"/>
      <c r="H43" s="162"/>
      <c r="I43" s="171" t="str">
        <f t="shared" si="2"/>
        <v/>
      </c>
      <c r="J43" s="162"/>
      <c r="K43" s="162"/>
      <c r="L43" s="163"/>
      <c r="M43" s="162"/>
      <c r="N43" s="162"/>
      <c r="O43" s="171" t="str">
        <f t="shared" si="3"/>
        <v/>
      </c>
      <c r="P43" s="150"/>
      <c r="Q43" s="150"/>
      <c r="R43" s="150"/>
      <c r="S43" s="150"/>
      <c r="T43" s="150"/>
      <c r="U43" s="171" t="str">
        <f t="shared" si="4"/>
        <v/>
      </c>
      <c r="V43" s="150"/>
      <c r="W43" s="150"/>
      <c r="X43" s="171" t="str">
        <f t="shared" si="5"/>
        <v/>
      </c>
      <c r="Y43" s="330"/>
      <c r="Z43" s="329"/>
      <c r="AA43" s="330"/>
      <c r="AB43" s="330"/>
      <c r="AC43" s="330"/>
      <c r="AD43" s="330"/>
      <c r="AE43" s="330"/>
      <c r="AF43" s="330"/>
      <c r="AG43" s="332"/>
      <c r="AH43" s="243"/>
    </row>
    <row r="44" spans="1:34" ht="15.95" customHeight="1" x14ac:dyDescent="0.25">
      <c r="A44" s="339"/>
      <c r="B44" s="188">
        <f>'Quadro Geral'!D35</f>
        <v>6</v>
      </c>
      <c r="C44" s="186" t="s">
        <v>839</v>
      </c>
      <c r="D44" s="187"/>
      <c r="E44" s="180"/>
      <c r="F44" s="341"/>
      <c r="G44" s="180"/>
      <c r="H44" s="181"/>
      <c r="I44" s="342"/>
      <c r="J44" s="180"/>
      <c r="K44" s="180"/>
      <c r="L44" s="201" t="s">
        <v>840</v>
      </c>
      <c r="M44" s="165">
        <f>COUNTIFS($D9:$D43,"*",$F9:$F43,"1",M9:M43,"S")</f>
        <v>0</v>
      </c>
      <c r="N44" s="165">
        <f>COUNTIFS($D9:$D43,"*",$F9:$F43,"1",N9:N43,"S")</f>
        <v>0</v>
      </c>
      <c r="O44" s="182" t="str">
        <f t="shared" si="3"/>
        <v/>
      </c>
      <c r="P44" s="180"/>
      <c r="Q44" s="180"/>
      <c r="R44" s="180"/>
      <c r="S44" s="180"/>
      <c r="T44" s="180"/>
      <c r="U44" s="343"/>
      <c r="V44" s="748" t="s">
        <v>841</v>
      </c>
      <c r="W44" s="748"/>
      <c r="X44" s="344"/>
      <c r="Y44" s="336">
        <f>IF(COUNTIFS(D9:D43,"*",$F9:$F43,"1")&gt;0,SUMIFS($Y9:$Y43,D9:D43,"*",$F9:$F43,"1")/COUNTIFS(D9:D43,"*",$F9:$F43,"1"),0)</f>
        <v>0</v>
      </c>
      <c r="Z44" s="344"/>
      <c r="AA44" s="243"/>
      <c r="AB44" s="243"/>
      <c r="AC44" s="243"/>
      <c r="AD44" s="243"/>
      <c r="AE44" s="243"/>
      <c r="AF44" s="243"/>
      <c r="AG44" s="243"/>
      <c r="AH44" s="243"/>
    </row>
    <row r="45" spans="1:34" ht="15.95" customHeight="1" x14ac:dyDescent="0.25">
      <c r="A45" s="339"/>
      <c r="B45" s="189">
        <f>IF(OR(Capa!$B$6="B",Capa!$B$6=1),(Y44*70+Y45*30)/100,
        IF(OR(Capa!$B$6=2,Capa!$B$6=3),((Y44*60+Y45*30)/100)+
                                                                IF(AND(Capa!$B$6=2,M44&gt;0),0.1,0)+
                                                                IF(AND(Capa!$B$6=3,M44&gt;0),0.05,0)+
                                                                IF(AND(Capa!$B$6=3,N44&gt;0),0.05,0),0))</f>
        <v>0</v>
      </c>
      <c r="C45" s="749" t="s">
        <v>842</v>
      </c>
      <c r="D45" s="750"/>
      <c r="E45" s="176"/>
      <c r="F45" s="341"/>
      <c r="G45" s="176"/>
      <c r="H45" s="177"/>
      <c r="I45" s="345"/>
      <c r="J45" s="176"/>
      <c r="K45" s="176"/>
      <c r="L45" s="184"/>
      <c r="M45" s="185"/>
      <c r="N45" s="185"/>
      <c r="O45" s="179"/>
      <c r="P45" s="176"/>
      <c r="Q45" s="176"/>
      <c r="R45" s="176"/>
      <c r="S45" s="176"/>
      <c r="T45" s="176"/>
      <c r="U45" s="343"/>
      <c r="V45" s="748" t="s">
        <v>843</v>
      </c>
      <c r="W45" s="748"/>
      <c r="X45" s="344"/>
      <c r="Y45" s="336">
        <f>IF(COUNTIFS(D9:D43,"*",$F9:$F43,"&lt;&gt;1")&gt;0,SUMIFS($Y9:$Y43,D9:D43,"*",$F9:$F43,"&lt;&gt;1")/COUNTIFS(D9:D43,"*",$F9:$F43,"&lt;&gt;1"),0)</f>
        <v>0</v>
      </c>
      <c r="Z45" s="344"/>
      <c r="AA45" s="243"/>
      <c r="AB45" s="243"/>
      <c r="AC45" s="243"/>
      <c r="AD45" s="243"/>
      <c r="AE45" s="243"/>
      <c r="AF45" s="243"/>
      <c r="AG45" s="243"/>
      <c r="AH45" s="243"/>
    </row>
    <row r="46" spans="1:34" ht="15.6" customHeight="1" x14ac:dyDescent="0.25">
      <c r="A46" s="339"/>
      <c r="B46" s="190">
        <f>'Quadro Geral'!F35</f>
        <v>0</v>
      </c>
      <c r="C46" s="186" t="s">
        <v>844</v>
      </c>
      <c r="D46" s="346"/>
      <c r="E46" s="176"/>
      <c r="F46" s="341"/>
      <c r="G46" s="176"/>
      <c r="H46" s="177"/>
      <c r="I46" s="345"/>
      <c r="J46" s="176"/>
      <c r="K46" s="177"/>
      <c r="L46" s="178"/>
      <c r="M46" s="176"/>
      <c r="N46" s="176"/>
      <c r="O46" s="179" t="str">
        <f t="shared" si="3"/>
        <v/>
      </c>
      <c r="P46" s="176"/>
      <c r="Q46" s="177"/>
      <c r="R46" s="176"/>
      <c r="S46" s="176"/>
      <c r="T46" s="176"/>
      <c r="U46" s="343"/>
      <c r="V46" s="243"/>
      <c r="W46" s="243"/>
      <c r="X46" s="243"/>
      <c r="Y46" s="243"/>
      <c r="Z46" s="344"/>
      <c r="AA46" s="243"/>
      <c r="AB46" s="243"/>
      <c r="AC46" s="243"/>
      <c r="AD46" s="243"/>
      <c r="AE46" s="243"/>
      <c r="AF46" s="243"/>
      <c r="AG46" s="243"/>
      <c r="AH46" s="243"/>
    </row>
    <row r="47" spans="1:34" ht="15.6" customHeight="1" x14ac:dyDescent="0.25">
      <c r="A47" s="339"/>
      <c r="E47" s="176"/>
      <c r="F47" s="341"/>
      <c r="G47" s="176"/>
      <c r="H47" s="177"/>
      <c r="I47" s="345"/>
      <c r="J47" s="176"/>
      <c r="K47" s="177"/>
      <c r="L47" s="178"/>
      <c r="M47" s="176"/>
      <c r="N47" s="176"/>
      <c r="O47" s="179" t="str">
        <f t="shared" si="3"/>
        <v/>
      </c>
      <c r="P47" s="176"/>
      <c r="Q47" s="177"/>
      <c r="R47" s="176"/>
      <c r="S47" s="176"/>
      <c r="T47" s="176"/>
      <c r="U47" s="343"/>
      <c r="V47" s="176"/>
      <c r="W47" s="176"/>
      <c r="X47" s="176"/>
      <c r="Y47" s="176"/>
      <c r="Z47" s="344"/>
      <c r="AA47" s="243"/>
      <c r="AB47" s="243"/>
      <c r="AC47" s="243"/>
      <c r="AD47" s="243"/>
      <c r="AE47" s="243"/>
      <c r="AF47" s="243"/>
      <c r="AG47" s="243"/>
      <c r="AH47" s="243"/>
    </row>
    <row r="48" spans="1:34" ht="6.6" customHeight="1" x14ac:dyDescent="0.25">
      <c r="A48" s="339"/>
      <c r="B48" s="183"/>
      <c r="C48" s="347"/>
      <c r="D48" s="348"/>
      <c r="E48" s="154"/>
      <c r="F48" s="349"/>
      <c r="G48" s="154"/>
      <c r="H48" s="154"/>
      <c r="I48" s="349"/>
      <c r="J48" s="154"/>
      <c r="K48" s="154"/>
      <c r="L48" s="154"/>
      <c r="M48" s="154"/>
      <c r="N48" s="154"/>
      <c r="O48" s="349"/>
      <c r="P48" s="154"/>
      <c r="Q48" s="154"/>
      <c r="R48" s="154"/>
      <c r="S48" s="154"/>
      <c r="T48" s="154"/>
      <c r="U48" s="341"/>
      <c r="V48" s="341"/>
      <c r="W48" s="341"/>
      <c r="X48" s="341"/>
      <c r="Y48" s="341"/>
      <c r="Z48" s="341"/>
      <c r="AA48" s="350"/>
      <c r="AB48" s="350"/>
      <c r="AC48" s="350"/>
      <c r="AD48" s="350"/>
      <c r="AE48" s="350"/>
      <c r="AF48" s="350"/>
      <c r="AG48" s="350"/>
      <c r="AH48" s="243"/>
    </row>
    <row r="49" spans="1:175" ht="22.5" customHeight="1" x14ac:dyDescent="0.25">
      <c r="A49" s="244"/>
      <c r="B49" s="155" t="s">
        <v>845</v>
      </c>
      <c r="C49" s="156"/>
      <c r="D49" s="156"/>
      <c r="E49" s="156"/>
      <c r="F49" s="156"/>
      <c r="G49" s="156"/>
      <c r="H49" s="156"/>
      <c r="I49" s="156"/>
      <c r="J49" s="156"/>
      <c r="K49" s="156"/>
      <c r="L49" s="156"/>
      <c r="M49" s="156"/>
      <c r="N49" s="156"/>
      <c r="O49" s="156"/>
      <c r="P49" s="156"/>
      <c r="Q49" s="156"/>
      <c r="R49" s="156"/>
      <c r="S49" s="156"/>
      <c r="T49" s="157"/>
      <c r="U49" s="244"/>
      <c r="V49" s="244"/>
      <c r="W49" s="244"/>
      <c r="X49" s="244"/>
      <c r="Y49" s="244"/>
      <c r="Z49" s="244"/>
      <c r="AA49" s="243"/>
      <c r="AB49" s="243"/>
      <c r="AC49" s="243"/>
      <c r="AD49" s="243"/>
      <c r="AE49" s="243"/>
      <c r="AF49" s="243"/>
      <c r="AG49" s="243"/>
      <c r="AH49" s="243"/>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15"/>
      <c r="EB49" s="215"/>
      <c r="EC49" s="215"/>
      <c r="ED49" s="215"/>
      <c r="EE49" s="215"/>
      <c r="EF49" s="215"/>
      <c r="EG49" s="215"/>
      <c r="EH49" s="215"/>
      <c r="EI49" s="215"/>
      <c r="EJ49" s="215"/>
      <c r="EK49" s="215"/>
      <c r="EL49" s="215"/>
      <c r="EM49" s="215"/>
      <c r="EN49" s="215"/>
      <c r="EO49" s="215"/>
      <c r="EP49" s="215"/>
      <c r="EQ49" s="215"/>
      <c r="ER49" s="215"/>
      <c r="ES49" s="215"/>
      <c r="ET49" s="215"/>
      <c r="EU49" s="215"/>
      <c r="EV49" s="215"/>
      <c r="EW49" s="215"/>
      <c r="EX49" s="215"/>
      <c r="EY49" s="215"/>
      <c r="EZ49" s="215"/>
      <c r="FA49" s="215"/>
      <c r="FB49" s="215"/>
      <c r="FC49" s="215"/>
      <c r="FD49" s="215"/>
      <c r="FE49" s="215"/>
      <c r="FF49" s="215"/>
      <c r="FG49" s="215"/>
      <c r="FH49" s="215"/>
      <c r="FI49" s="215"/>
      <c r="FJ49" s="215"/>
      <c r="FK49" s="215"/>
      <c r="FL49" s="215"/>
      <c r="FM49" s="215"/>
      <c r="FN49" s="215"/>
      <c r="FO49" s="215"/>
      <c r="FP49" s="215"/>
      <c r="FQ49" s="215"/>
      <c r="FR49" s="215"/>
      <c r="FS49" s="215"/>
    </row>
    <row r="50" spans="1:175" s="214" customFormat="1" x14ac:dyDescent="0.25">
      <c r="A50" s="243"/>
      <c r="B50" s="351"/>
      <c r="C50" s="742"/>
      <c r="D50" s="743"/>
      <c r="E50" s="743"/>
      <c r="F50" s="743"/>
      <c r="G50" s="743"/>
      <c r="H50" s="743"/>
      <c r="I50" s="743"/>
      <c r="J50" s="743"/>
      <c r="K50" s="743"/>
      <c r="L50" s="743"/>
      <c r="M50" s="743"/>
      <c r="N50" s="743"/>
      <c r="O50" s="743"/>
      <c r="P50" s="743"/>
      <c r="Q50" s="743"/>
      <c r="R50" s="743"/>
      <c r="S50" s="743"/>
      <c r="T50" s="744"/>
      <c r="U50" s="243"/>
      <c r="V50" s="243"/>
      <c r="W50" s="243"/>
      <c r="X50" s="243"/>
      <c r="Y50" s="243"/>
      <c r="Z50" s="243"/>
      <c r="AA50" s="243"/>
      <c r="AB50" s="243"/>
      <c r="AC50" s="243"/>
      <c r="AD50" s="243"/>
      <c r="AE50" s="243"/>
      <c r="AF50" s="243"/>
      <c r="AG50" s="243"/>
      <c r="AH50" s="243"/>
    </row>
    <row r="51" spans="1:175" s="214" customFormat="1" x14ac:dyDescent="0.25">
      <c r="A51" s="243"/>
      <c r="B51" s="351"/>
      <c r="C51" s="742"/>
      <c r="D51" s="743"/>
      <c r="E51" s="743"/>
      <c r="F51" s="743"/>
      <c r="G51" s="743"/>
      <c r="H51" s="743"/>
      <c r="I51" s="743"/>
      <c r="J51" s="743"/>
      <c r="K51" s="743"/>
      <c r="L51" s="743"/>
      <c r="M51" s="743"/>
      <c r="N51" s="743"/>
      <c r="O51" s="743"/>
      <c r="P51" s="743"/>
      <c r="Q51" s="743"/>
      <c r="R51" s="743"/>
      <c r="S51" s="743"/>
      <c r="T51" s="744"/>
      <c r="U51" s="243"/>
      <c r="V51" s="243"/>
      <c r="W51" s="243"/>
      <c r="X51" s="243"/>
      <c r="Y51" s="243"/>
      <c r="Z51" s="243"/>
      <c r="AA51" s="243"/>
      <c r="AB51" s="243"/>
      <c r="AC51" s="243"/>
      <c r="AD51" s="243"/>
      <c r="AE51" s="243"/>
      <c r="AF51" s="243"/>
      <c r="AG51" s="243"/>
      <c r="AH51" s="243"/>
    </row>
    <row r="52" spans="1:175" s="214" customFormat="1" x14ac:dyDescent="0.25">
      <c r="A52" s="243"/>
      <c r="B52" s="351"/>
      <c r="C52" s="742"/>
      <c r="D52" s="743"/>
      <c r="E52" s="743"/>
      <c r="F52" s="743"/>
      <c r="G52" s="743"/>
      <c r="H52" s="743"/>
      <c r="I52" s="743"/>
      <c r="J52" s="743"/>
      <c r="K52" s="743"/>
      <c r="L52" s="743"/>
      <c r="M52" s="743"/>
      <c r="N52" s="743"/>
      <c r="O52" s="743"/>
      <c r="P52" s="743"/>
      <c r="Q52" s="743"/>
      <c r="R52" s="743"/>
      <c r="S52" s="743"/>
      <c r="T52" s="744"/>
      <c r="U52" s="243"/>
      <c r="V52" s="243"/>
      <c r="W52" s="243"/>
      <c r="X52" s="243"/>
      <c r="Y52" s="243"/>
      <c r="Z52" s="243"/>
      <c r="AA52" s="243"/>
      <c r="AB52" s="243"/>
      <c r="AC52" s="243"/>
      <c r="AD52" s="243"/>
      <c r="AE52" s="243"/>
      <c r="AF52" s="243"/>
      <c r="AG52" s="243"/>
      <c r="AH52" s="243"/>
    </row>
    <row r="53" spans="1:175" s="214" customFormat="1" x14ac:dyDescent="0.25">
      <c r="A53" s="243"/>
      <c r="B53" s="351"/>
      <c r="C53" s="742"/>
      <c r="D53" s="743"/>
      <c r="E53" s="743"/>
      <c r="F53" s="743"/>
      <c r="G53" s="743"/>
      <c r="H53" s="743"/>
      <c r="I53" s="743"/>
      <c r="J53" s="743"/>
      <c r="K53" s="743"/>
      <c r="L53" s="743"/>
      <c r="M53" s="743"/>
      <c r="N53" s="743"/>
      <c r="O53" s="743"/>
      <c r="P53" s="743"/>
      <c r="Q53" s="743"/>
      <c r="R53" s="743"/>
      <c r="S53" s="743"/>
      <c r="T53" s="744"/>
      <c r="U53" s="243"/>
      <c r="V53" s="243"/>
      <c r="W53" s="243"/>
      <c r="X53" s="243"/>
      <c r="Y53" s="243"/>
      <c r="Z53" s="243"/>
      <c r="AA53" s="243"/>
      <c r="AB53" s="243"/>
      <c r="AC53" s="243"/>
      <c r="AD53" s="243"/>
      <c r="AE53" s="243"/>
      <c r="AF53" s="243"/>
      <c r="AG53" s="243"/>
      <c r="AH53" s="243"/>
    </row>
    <row r="54" spans="1:175" s="214" customFormat="1" x14ac:dyDescent="0.25">
      <c r="B54" s="158"/>
      <c r="C54" s="158"/>
    </row>
    <row r="55" spans="1:175" s="214" customFormat="1" x14ac:dyDescent="0.25">
      <c r="B55" s="158"/>
      <c r="C55" s="158"/>
    </row>
    <row r="56" spans="1:175" s="214" customFormat="1" x14ac:dyDescent="0.25">
      <c r="B56" s="158"/>
      <c r="C56" s="158"/>
    </row>
    <row r="57" spans="1:175" s="214" customFormat="1" x14ac:dyDescent="0.25">
      <c r="B57" s="158"/>
      <c r="C57" s="158"/>
    </row>
    <row r="58" spans="1:175" s="214" customFormat="1" x14ac:dyDescent="0.25">
      <c r="B58" s="158"/>
      <c r="C58" s="158"/>
    </row>
    <row r="59" spans="1:175" s="214" customFormat="1" x14ac:dyDescent="0.25">
      <c r="B59" s="158"/>
      <c r="C59" s="158"/>
    </row>
    <row r="60" spans="1:175" s="214" customFormat="1" x14ac:dyDescent="0.25">
      <c r="B60" s="158"/>
      <c r="C60" s="158"/>
    </row>
    <row r="61" spans="1:175" s="214" customFormat="1" x14ac:dyDescent="0.25">
      <c r="B61" s="158"/>
      <c r="C61" s="158"/>
    </row>
    <row r="62" spans="1:175" s="214" customFormat="1" x14ac:dyDescent="0.25">
      <c r="B62" s="158"/>
      <c r="C62" s="158"/>
    </row>
    <row r="63" spans="1:175" s="214" customFormat="1" x14ac:dyDescent="0.25">
      <c r="B63" s="158"/>
      <c r="C63" s="158"/>
    </row>
    <row r="64" spans="1:175" s="214" customFormat="1" x14ac:dyDescent="0.25">
      <c r="B64" s="158"/>
      <c r="C64" s="158"/>
    </row>
    <row r="65" spans="2:3" s="214" customFormat="1" x14ac:dyDescent="0.25">
      <c r="B65" s="158"/>
      <c r="C65" s="158"/>
    </row>
    <row r="66" spans="2:3" s="214" customFormat="1" x14ac:dyDescent="0.25">
      <c r="B66" s="158"/>
      <c r="C66" s="158"/>
    </row>
    <row r="67" spans="2:3" s="214" customFormat="1" x14ac:dyDescent="0.25">
      <c r="B67" s="158"/>
      <c r="C67" s="158"/>
    </row>
    <row r="68" spans="2:3" s="214" customFormat="1" x14ac:dyDescent="0.25">
      <c r="B68" s="158"/>
      <c r="C68" s="158"/>
    </row>
    <row r="69" spans="2:3" s="214" customFormat="1" x14ac:dyDescent="0.25">
      <c r="B69" s="158"/>
      <c r="C69" s="158"/>
    </row>
    <row r="70" spans="2:3" s="214" customFormat="1" x14ac:dyDescent="0.25">
      <c r="B70" s="158"/>
      <c r="C70" s="158"/>
    </row>
    <row r="71" spans="2:3" s="214" customFormat="1" x14ac:dyDescent="0.25">
      <c r="B71" s="158"/>
      <c r="C71" s="158"/>
    </row>
    <row r="72" spans="2:3" s="214" customFormat="1" x14ac:dyDescent="0.25">
      <c r="B72" s="158"/>
      <c r="C72" s="158"/>
    </row>
    <row r="73" spans="2:3" s="214" customFormat="1" x14ac:dyDescent="0.25">
      <c r="B73" s="158"/>
      <c r="C73" s="158"/>
    </row>
    <row r="74" spans="2:3" s="214" customFormat="1" x14ac:dyDescent="0.25">
      <c r="B74" s="158"/>
      <c r="C74" s="158"/>
    </row>
    <row r="75" spans="2:3" s="214" customFormat="1" x14ac:dyDescent="0.25">
      <c r="B75" s="158"/>
      <c r="C75" s="158"/>
    </row>
    <row r="76" spans="2:3" s="214" customFormat="1" x14ac:dyDescent="0.25">
      <c r="B76" s="158"/>
      <c r="C76" s="158"/>
    </row>
    <row r="77" spans="2:3" s="214" customFormat="1" x14ac:dyDescent="0.25">
      <c r="B77" s="158"/>
      <c r="C77" s="158"/>
    </row>
    <row r="78" spans="2:3" s="214" customFormat="1" x14ac:dyDescent="0.25">
      <c r="B78" s="158"/>
      <c r="C78" s="158"/>
    </row>
    <row r="79" spans="2:3" s="214" customFormat="1" x14ac:dyDescent="0.25">
      <c r="B79" s="158"/>
      <c r="C79" s="158"/>
    </row>
    <row r="80" spans="2:3" s="214" customFormat="1" x14ac:dyDescent="0.25">
      <c r="B80" s="158"/>
      <c r="C80" s="158"/>
    </row>
    <row r="81" spans="2:3" s="214" customFormat="1" x14ac:dyDescent="0.25">
      <c r="B81" s="158"/>
      <c r="C81" s="158"/>
    </row>
    <row r="82" spans="2:3" s="214" customFormat="1" x14ac:dyDescent="0.25">
      <c r="B82" s="158"/>
      <c r="C82" s="158"/>
    </row>
    <row r="83" spans="2:3" s="214" customFormat="1" x14ac:dyDescent="0.25">
      <c r="B83" s="158"/>
      <c r="C83" s="158"/>
    </row>
    <row r="84" spans="2:3" s="214" customFormat="1" x14ac:dyDescent="0.25">
      <c r="B84" s="158"/>
      <c r="C84" s="158"/>
    </row>
    <row r="85" spans="2:3" s="214" customFormat="1" x14ac:dyDescent="0.25">
      <c r="B85" s="158"/>
      <c r="C85" s="158"/>
    </row>
    <row r="86" spans="2:3" s="214" customFormat="1" x14ac:dyDescent="0.25">
      <c r="B86" s="158"/>
      <c r="C86" s="158"/>
    </row>
    <row r="87" spans="2:3" s="214" customFormat="1" x14ac:dyDescent="0.25">
      <c r="B87" s="158"/>
      <c r="C87" s="158"/>
    </row>
    <row r="88" spans="2:3" s="214" customFormat="1" x14ac:dyDescent="0.25">
      <c r="B88" s="158"/>
      <c r="C88" s="158"/>
    </row>
    <row r="89" spans="2:3" s="214" customFormat="1" x14ac:dyDescent="0.25">
      <c r="B89" s="158"/>
      <c r="C89" s="158"/>
    </row>
    <row r="90" spans="2:3" s="214" customFormat="1" x14ac:dyDescent="0.25">
      <c r="B90" s="158"/>
      <c r="C90" s="158"/>
    </row>
    <row r="91" spans="2:3" s="214" customFormat="1" x14ac:dyDescent="0.25">
      <c r="B91" s="158"/>
      <c r="C91" s="158"/>
    </row>
    <row r="92" spans="2:3" s="214" customFormat="1" x14ac:dyDescent="0.25">
      <c r="B92" s="158"/>
      <c r="C92" s="158"/>
    </row>
    <row r="93" spans="2:3" s="214" customFormat="1" x14ac:dyDescent="0.25">
      <c r="B93" s="158"/>
      <c r="C93" s="158"/>
    </row>
    <row r="94" spans="2:3" s="214" customFormat="1" x14ac:dyDescent="0.25">
      <c r="B94" s="158"/>
      <c r="C94" s="158"/>
    </row>
    <row r="95" spans="2:3" s="214" customFormat="1" x14ac:dyDescent="0.25">
      <c r="B95" s="158"/>
      <c r="C95" s="158"/>
    </row>
    <row r="96" spans="2:3" s="214" customFormat="1" x14ac:dyDescent="0.25">
      <c r="B96" s="158"/>
      <c r="C96" s="158"/>
    </row>
    <row r="97" spans="2:3" s="214" customFormat="1" x14ac:dyDescent="0.25">
      <c r="B97" s="158"/>
      <c r="C97" s="158"/>
    </row>
    <row r="98" spans="2:3" s="214" customFormat="1" x14ac:dyDescent="0.25">
      <c r="B98" s="158"/>
      <c r="C98" s="158"/>
    </row>
    <row r="99" spans="2:3" s="214" customFormat="1" x14ac:dyDescent="0.25">
      <c r="B99" s="158"/>
      <c r="C99" s="158"/>
    </row>
    <row r="100" spans="2:3" s="214" customFormat="1" x14ac:dyDescent="0.25">
      <c r="B100" s="158"/>
      <c r="C100" s="158"/>
    </row>
    <row r="101" spans="2:3" s="214" customFormat="1" x14ac:dyDescent="0.25">
      <c r="B101" s="158"/>
      <c r="C101" s="158"/>
    </row>
    <row r="102" spans="2:3" s="214" customFormat="1" x14ac:dyDescent="0.25">
      <c r="B102" s="158"/>
      <c r="C102" s="158"/>
    </row>
    <row r="103" spans="2:3" s="214" customFormat="1" x14ac:dyDescent="0.25">
      <c r="B103" s="158"/>
      <c r="C103" s="158"/>
    </row>
    <row r="104" spans="2:3" s="214" customFormat="1" x14ac:dyDescent="0.25">
      <c r="B104" s="158"/>
      <c r="C104" s="158"/>
    </row>
    <row r="105" spans="2:3" s="214" customFormat="1" x14ac:dyDescent="0.25">
      <c r="B105" s="158"/>
      <c r="C105" s="158"/>
    </row>
    <row r="106" spans="2:3" s="214" customFormat="1" x14ac:dyDescent="0.25">
      <c r="B106" s="158"/>
      <c r="C106" s="158"/>
    </row>
    <row r="107" spans="2:3" s="214" customFormat="1" x14ac:dyDescent="0.25">
      <c r="B107" s="158"/>
      <c r="C107" s="158"/>
    </row>
    <row r="108" spans="2:3" s="214" customFormat="1" x14ac:dyDescent="0.25">
      <c r="B108" s="158"/>
      <c r="C108" s="158"/>
    </row>
    <row r="109" spans="2:3" s="214" customFormat="1" x14ac:dyDescent="0.25">
      <c r="B109" s="158"/>
      <c r="C109" s="158"/>
    </row>
  </sheetData>
  <sheetProtection algorithmName="SHA-512" hashValue="VrlnlAB5MbvwpYlFPnmvniTyrBErZvFjDJs/R9bsQFvmCWTmak8QG27imj2zxKTY60zbv/4DOrR6B1tlJ8gZtA==" saltValue="rOi1pZZXYb8s1EDGN28Tzw==" spinCount="100000" sheet="1" formatCells="0" formatColumns="0" formatRows="0"/>
  <mergeCells count="14">
    <mergeCell ref="G3:W3"/>
    <mergeCell ref="B4:D4"/>
    <mergeCell ref="G4:H4"/>
    <mergeCell ref="J4:N4"/>
    <mergeCell ref="P4:T4"/>
    <mergeCell ref="V4:W4"/>
    <mergeCell ref="C52:T52"/>
    <mergeCell ref="C53:T53"/>
    <mergeCell ref="AA4:AG4"/>
    <mergeCell ref="V44:W44"/>
    <mergeCell ref="C45:D45"/>
    <mergeCell ref="V45:W45"/>
    <mergeCell ref="C50:T50"/>
    <mergeCell ref="C51:T51"/>
  </mergeCells>
  <conditionalFormatting sqref="B4">
    <cfRule type="dataBar" priority="219">
      <dataBar>
        <cfvo type="num" val="0.1"/>
        <cfvo type="num" val="1"/>
        <color rgb="FF92D050"/>
      </dataBar>
      <extLst>
        <ext xmlns:x14="http://schemas.microsoft.com/office/spreadsheetml/2009/9/main" uri="{B025F937-C7B1-47D3-B67F-A62EFF666E3E}">
          <x14:id>{F5C643F5-5823-48BC-8243-C21ED099CAA1}</x14:id>
        </ext>
      </extLst>
    </cfRule>
  </conditionalFormatting>
  <conditionalFormatting sqref="H9:H42">
    <cfRule type="expression" dxfId="107" priority="1">
      <formula>AND($G9&lt;&gt;"S",NOT(ISBLANK($H9)))</formula>
    </cfRule>
  </conditionalFormatting>
  <conditionalFormatting sqref="J9:N42">
    <cfRule type="expression" dxfId="106" priority="12">
      <formula>$F9&lt;&gt;1</formula>
    </cfRule>
  </conditionalFormatting>
  <conditionalFormatting sqref="K14:N18 K23:N29">
    <cfRule type="expression" dxfId="105" priority="13">
      <formula>$F14&lt;&gt;1</formula>
    </cfRule>
  </conditionalFormatting>
  <conditionalFormatting sqref="K38:N42">
    <cfRule type="expression" dxfId="104" priority="6">
      <formula>$F38&lt;&gt;1</formula>
    </cfRule>
  </conditionalFormatting>
  <conditionalFormatting sqref="P9:T42">
    <cfRule type="expression" dxfId="103" priority="11">
      <formula>$F9&lt;&gt;1</formula>
    </cfRule>
  </conditionalFormatting>
  <conditionalFormatting sqref="V9:V11">
    <cfRule type="expression" dxfId="102" priority="193">
      <formula>$F9&lt;&gt;1</formula>
    </cfRule>
  </conditionalFormatting>
  <conditionalFormatting sqref="V19:V20">
    <cfRule type="expression" dxfId="101" priority="10">
      <formula>$F19&lt;&gt;1</formula>
    </cfRule>
  </conditionalFormatting>
  <conditionalFormatting sqref="V28:V33">
    <cfRule type="expression" dxfId="100" priority="105">
      <formula>$F28&lt;&gt;1</formula>
    </cfRule>
  </conditionalFormatting>
  <conditionalFormatting sqref="V34:V35">
    <cfRule type="expression" dxfId="99" priority="5">
      <formula>$F34&lt;&gt;1</formula>
    </cfRule>
  </conditionalFormatting>
  <conditionalFormatting sqref="V9:W14 V15 V16:W42">
    <cfRule type="expression" dxfId="98" priority="94" stopIfTrue="1">
      <formula>AND($F9&lt;&gt;1,NOT(ISBLANK($V9)))</formula>
    </cfRule>
  </conditionalFormatting>
  <conditionalFormatting sqref="V12:W14 V15 V16:W17">
    <cfRule type="expression" dxfId="97" priority="15" stopIfTrue="1">
      <formula>AND($F12&lt;&gt;1,NOT(ISBLANK($V12)))</formula>
    </cfRule>
    <cfRule type="expression" dxfId="96" priority="16">
      <formula>$F12&lt;&gt;1</formula>
    </cfRule>
  </conditionalFormatting>
  <conditionalFormatting sqref="V18:W18 V27:W27">
    <cfRule type="expression" dxfId="95" priority="169">
      <formula>$F18&lt;&gt;1</formula>
    </cfRule>
  </conditionalFormatting>
  <conditionalFormatting sqref="V21:W26">
    <cfRule type="expression" dxfId="94" priority="8" stopIfTrue="1">
      <formula>AND($F21&lt;&gt;1,NOT(ISBLANK($V21)))</formula>
    </cfRule>
    <cfRule type="expression" dxfId="93" priority="9">
      <formula>$F21&lt;&gt;1</formula>
    </cfRule>
  </conditionalFormatting>
  <conditionalFormatting sqref="V36:W41">
    <cfRule type="expression" dxfId="92" priority="3" stopIfTrue="1">
      <formula>AND($F36&lt;&gt;1,NOT(ISBLANK($V36)))</formula>
    </cfRule>
  </conditionalFormatting>
  <conditionalFormatting sqref="V36:W42">
    <cfRule type="expression" dxfId="91" priority="4">
      <formula>$F36&lt;&gt;1</formula>
    </cfRule>
  </conditionalFormatting>
  <conditionalFormatting sqref="W9:W14 W16:W42">
    <cfRule type="expression" dxfId="90" priority="95">
      <formula>$F9&lt;&gt;1</formula>
    </cfRule>
  </conditionalFormatting>
  <conditionalFormatting sqref="W15">
    <cfRule type="expression" dxfId="89" priority="2">
      <formula>$F15&lt;&gt;1</formula>
    </cfRule>
  </conditionalFormatting>
  <dataValidations count="13">
    <dataValidation type="list" allowBlank="1" showInputMessage="1" showErrorMessage="1" promptTitle="Informe PF ou OM" prompt="Descreva o PF ou a OM à Direita" sqref="B50:B53" xr:uid="{00000000-0002-0000-0A00-000000000000}">
      <formula1>"PF,OM"</formula1>
    </dataValidation>
    <dataValidation allowBlank="1" showInputMessage="1" showErrorMessage="1" error="Opção inválida" sqref="T9:T42 W15" xr:uid="{00000000-0002-0000-0A00-000001000000}"/>
    <dataValidation type="list" allowBlank="1" showInputMessage="1" showErrorMessage="1" error="Opção inválida" promptTitle="Há padrão suficiente" sqref="P8 P43" xr:uid="{00000000-0002-0000-0A00-000002000000}">
      <formula1>"S,N,s,n,NS,ns"</formula1>
    </dataValidation>
    <dataValidation type="list" allowBlank="1" showInputMessage="1" showErrorMessage="1" error="Opção inválida" sqref="T8 V8:W8 V43:W43 T43 S48:T48 S8:S43" xr:uid="{00000000-0002-0000-0A00-000003000000}">
      <formula1>"MT,EF,mt,ef"</formula1>
    </dataValidation>
    <dataValidation type="list" allowBlank="1" showInputMessage="1" showErrorMessage="1" promptTitle="Bom quando" prompt="&quot;+&quot; Aumentar_x000a_&quot;=&quot; Manter _x000a_&quot;-&quot;  Diminuir" sqref="AA9:AA42" xr:uid="{00000000-0002-0000-0A00-000004000000}">
      <formula1>"+,=,-"</formula1>
    </dataValidation>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AD19 AD34" xr:uid="{00000000-0002-0000-0A00-000005000000}"/>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AE19 AE34" xr:uid="{00000000-0002-0000-0A00-000006000000}"/>
    <dataValidation type="list" allowBlank="1" showInputMessage="1" showErrorMessage="1" error="Opção inválida" promptTitle="Há padrão suficiente" sqref="Q48 Q8 K8 H43 K43 Q43 H8 M48:N48 H48 K48 M8:N43" xr:uid="{00000000-0002-0000-0A00-000007000000}">
      <formula1>"S,N,NS,s,n,ns"</formula1>
    </dataValidation>
    <dataValidation type="list" allowBlank="1" showInputMessage="1" showErrorMessage="1" error="Opção inválida" promptTitle="Há padrão suficiente" sqref="P48 J48 E43:E48 G48 E8 P9:P42 J8:J43 G8:G43" xr:uid="{00000000-0002-0000-0A00-000008000000}">
      <formula1>"S,N,s,n"</formula1>
    </dataValidation>
    <dataValidation type="list" allowBlank="1" showInputMessage="1" showErrorMessage="1" error="Opção inválida" promptTitle="Há padrão suficiente" sqref="K9:K42 H9:H42" xr:uid="{00000000-0002-0000-0A00-000009000000}">
      <formula1>"0,1,2,3"</formula1>
    </dataValidation>
    <dataValidation type="list" allowBlank="1" showInputMessage="1" showErrorMessage="1" error="Opção inválida! 0,1,2 ou 3." sqref="V9:V42" xr:uid="{00000000-0002-0000-0A00-00000A000000}">
      <formula1>"0,1,2,3"</formula1>
    </dataValidation>
    <dataValidation type="list" allowBlank="1" showInputMessage="1" showErrorMessage="1" error="Opção inválida! 0,1,2 ou 3" promptTitle="Há padrão suficiente" sqref="Q9:Q42" xr:uid="{00000000-0002-0000-0A00-00000B000000}">
      <formula1>"0,1,2,3"</formula1>
    </dataValidation>
    <dataValidation type="list" allowBlank="1" showInputMessage="1" showErrorMessage="1" error="Opção inválida!" sqref="E9:E42" xr:uid="{00000000-0002-0000-0A00-00000C000000}">
      <formula1>"N,E,O,G,n,e,o,g,NO,EO,no,eo,ON,OE,on,oe"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F5C643F5-5823-48BC-8243-C21ED099CAA1}">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dimension ref="A1:FS115"/>
  <sheetViews>
    <sheetView zoomScale="115" zoomScaleNormal="115" workbookViewId="0">
      <pane xSplit="4" ySplit="8" topLeftCell="E9" activePane="bottomRight" state="frozen"/>
      <selection pane="topRight" activeCell="E1" sqref="E1"/>
      <selection pane="bottomLeft" activeCell="A9" sqref="A9"/>
      <selection pane="bottomRight" activeCell="B9" sqref="B9"/>
    </sheetView>
  </sheetViews>
  <sheetFormatPr defaultColWidth="8.85546875" defaultRowHeight="15" x14ac:dyDescent="0.25"/>
  <cols>
    <col min="1" max="1" width="1.85546875" style="215" customWidth="1"/>
    <col min="2" max="2" width="8.140625" style="159" customWidth="1"/>
    <col min="3" max="3" width="9" style="159" customWidth="1"/>
    <col min="4" max="4" width="30.140625" style="215" customWidth="1"/>
    <col min="5" max="5" width="4.140625" style="215" customWidth="1"/>
    <col min="6" max="6" width="1.5703125" style="215" customWidth="1"/>
    <col min="7" max="7" width="8.140625" style="215" customWidth="1"/>
    <col min="8" max="8" width="5" style="215" customWidth="1"/>
    <col min="9" max="9" width="1.85546875" style="215" customWidth="1"/>
    <col min="10" max="10" width="6.85546875" style="215" customWidth="1"/>
    <col min="11" max="11" width="3.85546875" style="215" customWidth="1"/>
    <col min="12" max="12" width="14.5703125" style="215" customWidth="1"/>
    <col min="13" max="13" width="3.140625" style="215" customWidth="1"/>
    <col min="14" max="14" width="5.140625" style="215" customWidth="1"/>
    <col min="15" max="15" width="1.85546875" style="215" customWidth="1"/>
    <col min="16" max="16" width="6.140625" style="215" customWidth="1"/>
    <col min="17" max="17" width="3.85546875" style="215" customWidth="1"/>
    <col min="18" max="18" width="13.5703125" style="215" customWidth="1"/>
    <col min="19" max="19" width="9.42578125" style="215" customWidth="1"/>
    <col min="20" max="20" width="13.5703125" style="215" customWidth="1"/>
    <col min="21" max="21" width="1.85546875" style="215" customWidth="1"/>
    <col min="22" max="22" width="4.140625" style="215" customWidth="1"/>
    <col min="23" max="23" width="12.85546875" style="215" customWidth="1"/>
    <col min="24" max="24" width="1.85546875" style="215" customWidth="1"/>
    <col min="25" max="25" width="5.1406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19.350000000000001" customHeight="1" x14ac:dyDescent="0.25">
      <c r="A2" s="244"/>
      <c r="B2" s="199" t="s">
        <v>848</v>
      </c>
      <c r="C2" s="199"/>
      <c r="D2" s="200"/>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3.35" customHeight="1" x14ac:dyDescent="0.25">
      <c r="A3" s="244"/>
      <c r="B3" s="244"/>
      <c r="C3" s="244"/>
      <c r="D3" s="244"/>
      <c r="E3" s="310"/>
      <c r="F3" s="244"/>
      <c r="G3" s="735" t="s">
        <v>23</v>
      </c>
      <c r="H3" s="735"/>
      <c r="I3" s="735"/>
      <c r="J3" s="735"/>
      <c r="K3" s="735"/>
      <c r="L3" s="735"/>
      <c r="M3" s="735"/>
      <c r="N3" s="735"/>
      <c r="O3" s="735"/>
      <c r="P3" s="735"/>
      <c r="Q3" s="735"/>
      <c r="R3" s="735"/>
      <c r="S3" s="735"/>
      <c r="T3" s="735"/>
      <c r="U3" s="735"/>
      <c r="V3" s="735"/>
      <c r="W3" s="735"/>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36">
        <f>IF(COUNTIF($D8:$D49,"*")&gt;0,(COUNTIFS($D8:$D49,"*",$F8:$F49,"1",V8:V49,"&gt;=0")+COUNTIFS($D8:$D49,"*",$F8:$F49,"&lt;&gt;1",E8:E49,"*"))/COUNTIF($D8:$D49,"*"),0)</f>
        <v>0</v>
      </c>
      <c r="C4" s="736"/>
      <c r="D4" s="736"/>
      <c r="E4" s="310"/>
      <c r="F4" s="244"/>
      <c r="G4" s="737" t="s">
        <v>808</v>
      </c>
      <c r="H4" s="738"/>
      <c r="I4" s="171" t="str">
        <f>IF(ISNUMBER(AVERAGE(I9:I49)),AVERAGE(I9:I49),"Sem")</f>
        <v>Sem</v>
      </c>
      <c r="J4" s="739" t="s">
        <v>809</v>
      </c>
      <c r="K4" s="739"/>
      <c r="L4" s="739"/>
      <c r="M4" s="739"/>
      <c r="N4" s="739"/>
      <c r="O4" s="171" t="str">
        <f>IF(ISNUMBER(AVERAGE(O9:O49)),AVERAGE(O9:O49),"Sem")</f>
        <v>Sem</v>
      </c>
      <c r="P4" s="739" t="s">
        <v>810</v>
      </c>
      <c r="Q4" s="739"/>
      <c r="R4" s="739"/>
      <c r="S4" s="739"/>
      <c r="T4" s="739"/>
      <c r="U4" s="171" t="str">
        <f>IF(ISNUMBER(AVERAGE(U9:U49)),AVERAGE(U9:U49),"Sem")</f>
        <v>Sem</v>
      </c>
      <c r="V4" s="740" t="s">
        <v>811</v>
      </c>
      <c r="W4" s="741"/>
      <c r="X4" s="207" t="str">
        <f>IF(ISNUMBER(AVERAGE(X9:X49)),AVERAGE(X9:X49),"Sem")</f>
        <v>Sem</v>
      </c>
      <c r="Y4" s="142"/>
      <c r="Z4" s="142"/>
      <c r="AA4" s="745" t="s">
        <v>812</v>
      </c>
      <c r="AB4" s="746"/>
      <c r="AC4" s="746"/>
      <c r="AD4" s="746"/>
      <c r="AE4" s="746"/>
      <c r="AF4" s="746"/>
      <c r="AG4" s="747"/>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12.95"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1.35"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18.95" customHeight="1" x14ac:dyDescent="0.25">
      <c r="A9" s="311">
        <v>8</v>
      </c>
      <c r="B9" s="674"/>
      <c r="C9" s="675"/>
      <c r="D9" s="676"/>
      <c r="E9" s="677"/>
      <c r="F9" s="164" t="str">
        <f>IF(OR(ISNUMBER(SEARCH("N",$E9)),ISNUMBER(SEARCH("E",$E9))),1,"")</f>
        <v/>
      </c>
      <c r="G9" s="677"/>
      <c r="H9" s="51"/>
      <c r="I9" s="171" t="str">
        <f>IF(G9="S",IF(H9=3,1,IF(H9=2,0.6,IF(H9=1,0.3,0))),"")</f>
        <v/>
      </c>
      <c r="J9" s="51"/>
      <c r="K9" s="51"/>
      <c r="L9" s="51"/>
      <c r="M9" s="51"/>
      <c r="N9" s="51"/>
      <c r="O9" s="171" t="str">
        <f>IF(AND($F9=1,J9="S"),IF(K9=3,1,IF(K9=2,0.6,IF(K9=1,0.3,0))),"")</f>
        <v/>
      </c>
      <c r="P9" s="51"/>
      <c r="Q9" s="51"/>
      <c r="R9" s="51"/>
      <c r="S9" s="51"/>
      <c r="T9" s="51"/>
      <c r="U9" s="171" t="str">
        <f>IF(AND($F9=1,P9="S"),IF(Q9=3,1,IF(Q9=2,0.6,IF(Q9=1,0.3,0))),"")</f>
        <v/>
      </c>
      <c r="V9" s="335"/>
      <c r="W9" s="335"/>
      <c r="X9" s="171" t="str">
        <f>IF($F9=1,IF(V9=3,1,IF(V9=2,0.6,IF(V9=1,0.3,0))),"")</f>
        <v/>
      </c>
      <c r="Y9" s="336" t="str">
        <f t="shared" ref="Y9:Y48" si="0">IF(NOT(ISBLANK(D9)),IF(OR(ISNUMBER(I9),ISNUMBER(O9),ISNUMBER(U9),ISNUMBER(X9)),AVERAGE(I9,O9,U9,X9),0),"")</f>
        <v/>
      </c>
      <c r="Z9" s="329"/>
      <c r="AA9" s="337"/>
      <c r="AB9" s="297"/>
      <c r="AC9" s="337"/>
      <c r="AD9" s="337"/>
      <c r="AE9" s="337"/>
      <c r="AF9" s="337"/>
      <c r="AG9" s="338"/>
      <c r="AH9" s="243"/>
    </row>
    <row r="10" spans="1:175" ht="20.85" customHeight="1" x14ac:dyDescent="0.25">
      <c r="A10" s="311">
        <v>8</v>
      </c>
      <c r="B10" s="674"/>
      <c r="C10" s="675"/>
      <c r="D10" s="676"/>
      <c r="E10" s="677"/>
      <c r="F10" s="164" t="str">
        <f t="shared" ref="F10:F48" si="1">IF(OR(ISNUMBER(SEARCH("N",$E10)),ISNUMBER(SEARCH("E",$E10))),1,"")</f>
        <v/>
      </c>
      <c r="G10" s="677"/>
      <c r="H10" s="51"/>
      <c r="I10" s="171" t="str">
        <f t="shared" ref="I10:I49" si="2">IF(G10="S",IF(H10=3,1,IF(H10=2,0.6,IF(H10=1,0.3,0))),"")</f>
        <v/>
      </c>
      <c r="J10" s="51"/>
      <c r="K10" s="51"/>
      <c r="L10" s="51"/>
      <c r="M10" s="51"/>
      <c r="N10" s="51"/>
      <c r="O10" s="171"/>
      <c r="P10" s="51"/>
      <c r="Q10" s="51"/>
      <c r="R10" s="51"/>
      <c r="S10" s="51"/>
      <c r="T10" s="51"/>
      <c r="U10" s="171" t="str">
        <f t="shared" ref="U10:U49" si="3">IF(AND($F10=1,P10="S"),IF(Q10=3,1,IF(Q10=2,0.6,IF(Q10=1,0.3,0))),"")</f>
        <v/>
      </c>
      <c r="V10" s="335"/>
      <c r="W10" s="335"/>
      <c r="X10" s="171" t="str">
        <f t="shared" ref="X10:X49" si="4">IF($F10=1,IF(V10=3,1,IF(V10=2,0.6,IF(V10=1,0.3,0))),"")</f>
        <v/>
      </c>
      <c r="Y10" s="336" t="str">
        <f t="shared" si="0"/>
        <v/>
      </c>
      <c r="Z10" s="329"/>
      <c r="AA10" s="337"/>
      <c r="AB10" s="297"/>
      <c r="AC10" s="337"/>
      <c r="AD10" s="337"/>
      <c r="AE10" s="337"/>
      <c r="AF10" s="337"/>
      <c r="AG10" s="338"/>
      <c r="AH10" s="243"/>
    </row>
    <row r="11" spans="1:175" ht="15.75" x14ac:dyDescent="0.25">
      <c r="A11" s="311">
        <v>8</v>
      </c>
      <c r="B11" s="674"/>
      <c r="C11" s="675"/>
      <c r="D11" s="676"/>
      <c r="E11" s="677"/>
      <c r="F11" s="164" t="str">
        <f t="shared" si="1"/>
        <v/>
      </c>
      <c r="G11" s="677"/>
      <c r="H11" s="51"/>
      <c r="I11" s="171" t="str">
        <f t="shared" si="2"/>
        <v/>
      </c>
      <c r="J11" s="51"/>
      <c r="K11" s="51"/>
      <c r="L11" s="51"/>
      <c r="M11" s="51"/>
      <c r="N11" s="51"/>
      <c r="O11" s="171"/>
      <c r="P11" s="51"/>
      <c r="Q11" s="51"/>
      <c r="R11" s="51"/>
      <c r="S11" s="51"/>
      <c r="T11" s="51"/>
      <c r="U11" s="171" t="str">
        <f t="shared" si="3"/>
        <v/>
      </c>
      <c r="V11" s="335"/>
      <c r="W11" s="335"/>
      <c r="X11" s="171" t="str">
        <f t="shared" si="4"/>
        <v/>
      </c>
      <c r="Y11" s="336" t="str">
        <f t="shared" si="0"/>
        <v/>
      </c>
      <c r="Z11" s="329"/>
      <c r="AA11" s="337"/>
      <c r="AB11" s="337"/>
      <c r="AC11" s="337"/>
      <c r="AD11" s="337"/>
      <c r="AE11" s="337"/>
      <c r="AF11" s="337"/>
      <c r="AG11" s="338"/>
      <c r="AH11" s="243"/>
    </row>
    <row r="12" spans="1:175" ht="15.75" x14ac:dyDescent="0.25">
      <c r="A12" s="311">
        <v>8</v>
      </c>
      <c r="B12" s="674"/>
      <c r="C12" s="675"/>
      <c r="D12" s="676"/>
      <c r="E12" s="677"/>
      <c r="F12" s="164" t="str">
        <f t="shared" si="1"/>
        <v/>
      </c>
      <c r="G12" s="677"/>
      <c r="H12" s="51"/>
      <c r="I12" s="171" t="str">
        <f t="shared" si="2"/>
        <v/>
      </c>
      <c r="J12" s="51"/>
      <c r="K12" s="51"/>
      <c r="L12" s="51"/>
      <c r="M12" s="51"/>
      <c r="N12" s="51"/>
      <c r="O12" s="171"/>
      <c r="P12" s="51"/>
      <c r="Q12" s="51"/>
      <c r="R12" s="51"/>
      <c r="S12" s="51"/>
      <c r="T12" s="51"/>
      <c r="U12" s="171" t="str">
        <f t="shared" si="3"/>
        <v/>
      </c>
      <c r="V12" s="335"/>
      <c r="W12" s="335"/>
      <c r="X12" s="171" t="str">
        <f t="shared" si="4"/>
        <v/>
      </c>
      <c r="Y12" s="336" t="str">
        <f t="shared" si="0"/>
        <v/>
      </c>
      <c r="Z12" s="329"/>
      <c r="AA12" s="337"/>
      <c r="AB12" s="337"/>
      <c r="AC12" s="337"/>
      <c r="AD12" s="337"/>
      <c r="AE12" s="337"/>
      <c r="AF12" s="337"/>
      <c r="AG12" s="338"/>
      <c r="AH12" s="243"/>
    </row>
    <row r="13" spans="1:175" ht="15.75" x14ac:dyDescent="0.25">
      <c r="A13" s="311">
        <v>8</v>
      </c>
      <c r="B13" s="674"/>
      <c r="C13" s="675"/>
      <c r="D13" s="676"/>
      <c r="E13" s="677"/>
      <c r="F13" s="164" t="str">
        <f t="shared" si="1"/>
        <v/>
      </c>
      <c r="G13" s="677"/>
      <c r="H13" s="51"/>
      <c r="I13" s="171" t="str">
        <f t="shared" si="2"/>
        <v/>
      </c>
      <c r="J13" s="51"/>
      <c r="K13" s="51"/>
      <c r="L13" s="51"/>
      <c r="M13" s="51"/>
      <c r="N13" s="51"/>
      <c r="O13" s="171"/>
      <c r="P13" s="51"/>
      <c r="Q13" s="51"/>
      <c r="R13" s="51"/>
      <c r="S13" s="51"/>
      <c r="T13" s="51"/>
      <c r="U13" s="171" t="str">
        <f t="shared" si="3"/>
        <v/>
      </c>
      <c r="V13" s="335"/>
      <c r="W13" s="335"/>
      <c r="X13" s="171" t="str">
        <f t="shared" si="4"/>
        <v/>
      </c>
      <c r="Y13" s="336" t="str">
        <f t="shared" si="0"/>
        <v/>
      </c>
      <c r="Z13" s="329"/>
      <c r="AA13" s="337"/>
      <c r="AB13" s="337"/>
      <c r="AC13" s="337"/>
      <c r="AD13" s="337"/>
      <c r="AE13" s="337"/>
      <c r="AF13" s="337"/>
      <c r="AG13" s="338"/>
      <c r="AH13" s="243"/>
    </row>
    <row r="14" spans="1:175" ht="15.75" x14ac:dyDescent="0.25">
      <c r="A14" s="311">
        <v>8</v>
      </c>
      <c r="B14" s="674"/>
      <c r="C14" s="675"/>
      <c r="D14" s="676"/>
      <c r="E14" s="677"/>
      <c r="F14" s="164" t="str">
        <f t="shared" si="1"/>
        <v/>
      </c>
      <c r="G14" s="677"/>
      <c r="H14" s="51"/>
      <c r="I14" s="171" t="str">
        <f t="shared" ref="I14:I29" si="5">IF(G14="S",IF(H14=3,1,IF(H14=2,0.6,IF(H14=1,0.3,0))),"")</f>
        <v/>
      </c>
      <c r="J14" s="51"/>
      <c r="K14" s="51"/>
      <c r="L14" s="51"/>
      <c r="M14" s="51"/>
      <c r="N14" s="51"/>
      <c r="O14" s="171"/>
      <c r="P14" s="51"/>
      <c r="Q14" s="51"/>
      <c r="R14" s="51"/>
      <c r="S14" s="51"/>
      <c r="T14" s="51"/>
      <c r="U14" s="171" t="str">
        <f t="shared" ref="U14:U22" si="6">IF(AND($F14=1,P14="S"),IF(Q14=3,1,IF(Q14=2,0.6,IF(Q14=1,0.3,0))),"")</f>
        <v/>
      </c>
      <c r="V14" s="335"/>
      <c r="W14" s="335"/>
      <c r="X14" s="171" t="str">
        <f t="shared" ref="X14:X28" si="7">IF($F14=1,IF(V14=3,1,IF(V14=2,0.6,IF(V14=1,0.3,0))),"")</f>
        <v/>
      </c>
      <c r="Y14" s="336" t="str">
        <f t="shared" ref="Y14:Y28" si="8">IF(NOT(ISBLANK(D14)),IF(OR(ISNUMBER(I14),ISNUMBER(O14),ISNUMBER(U14),ISNUMBER(X14)),AVERAGE(I14,O14,U14,X14),0),"")</f>
        <v/>
      </c>
      <c r="Z14" s="329"/>
      <c r="AA14" s="337"/>
      <c r="AB14" s="337"/>
      <c r="AC14" s="337"/>
      <c r="AD14" s="337"/>
      <c r="AE14" s="337"/>
      <c r="AF14" s="337"/>
      <c r="AG14" s="338"/>
      <c r="AH14" s="243"/>
    </row>
    <row r="15" spans="1:175" ht="15.75" x14ac:dyDescent="0.25">
      <c r="A15" s="311">
        <v>8</v>
      </c>
      <c r="B15" s="674"/>
      <c r="C15" s="675"/>
      <c r="D15" s="676"/>
      <c r="E15" s="677"/>
      <c r="F15" s="164" t="str">
        <f t="shared" si="1"/>
        <v/>
      </c>
      <c r="G15" s="677"/>
      <c r="H15" s="51"/>
      <c r="I15" s="171" t="str">
        <f t="shared" si="5"/>
        <v/>
      </c>
      <c r="J15" s="51"/>
      <c r="K15" s="51"/>
      <c r="L15" s="51"/>
      <c r="M15" s="51"/>
      <c r="N15" s="51"/>
      <c r="O15" s="171"/>
      <c r="P15" s="51"/>
      <c r="Q15" s="51"/>
      <c r="R15" s="51"/>
      <c r="S15" s="51"/>
      <c r="T15" s="51"/>
      <c r="U15" s="171" t="str">
        <f t="shared" si="6"/>
        <v/>
      </c>
      <c r="V15" s="335"/>
      <c r="W15" s="335"/>
      <c r="X15" s="171" t="str">
        <f t="shared" si="7"/>
        <v/>
      </c>
      <c r="Y15" s="336" t="str">
        <f t="shared" si="8"/>
        <v/>
      </c>
      <c r="Z15" s="329"/>
      <c r="AA15" s="337"/>
      <c r="AB15" s="337"/>
      <c r="AC15" s="337"/>
      <c r="AD15" s="337"/>
      <c r="AE15" s="337"/>
      <c r="AF15" s="337"/>
      <c r="AG15" s="338"/>
      <c r="AH15" s="243"/>
    </row>
    <row r="16" spans="1:175" ht="15.75" x14ac:dyDescent="0.25">
      <c r="A16" s="311">
        <v>8</v>
      </c>
      <c r="B16" s="674"/>
      <c r="C16" s="675"/>
      <c r="D16" s="676"/>
      <c r="E16" s="677"/>
      <c r="F16" s="164" t="str">
        <f t="shared" si="1"/>
        <v/>
      </c>
      <c r="G16" s="677"/>
      <c r="H16" s="51"/>
      <c r="I16" s="171" t="str">
        <f t="shared" si="5"/>
        <v/>
      </c>
      <c r="J16" s="51"/>
      <c r="K16" s="51"/>
      <c r="L16" s="51"/>
      <c r="M16" s="51"/>
      <c r="N16" s="51"/>
      <c r="O16" s="171"/>
      <c r="P16" s="51"/>
      <c r="Q16" s="51"/>
      <c r="R16" s="51"/>
      <c r="S16" s="51"/>
      <c r="T16" s="51"/>
      <c r="U16" s="171" t="str">
        <f t="shared" si="6"/>
        <v/>
      </c>
      <c r="V16" s="335"/>
      <c r="W16" s="335"/>
      <c r="X16" s="171" t="str">
        <f t="shared" si="7"/>
        <v/>
      </c>
      <c r="Y16" s="336" t="str">
        <f t="shared" si="8"/>
        <v/>
      </c>
      <c r="Z16" s="329"/>
      <c r="AA16" s="337"/>
      <c r="AB16" s="337"/>
      <c r="AC16" s="337"/>
      <c r="AD16" s="337"/>
      <c r="AE16" s="337"/>
      <c r="AF16" s="337"/>
      <c r="AG16" s="338"/>
      <c r="AH16" s="243"/>
    </row>
    <row r="17" spans="1:34" ht="15.75" x14ac:dyDescent="0.25">
      <c r="A17" s="311">
        <v>8</v>
      </c>
      <c r="B17" s="674"/>
      <c r="C17" s="675"/>
      <c r="D17" s="676"/>
      <c r="E17" s="677"/>
      <c r="F17" s="164" t="str">
        <f t="shared" si="1"/>
        <v/>
      </c>
      <c r="G17" s="677"/>
      <c r="H17" s="51"/>
      <c r="I17" s="171" t="str">
        <f t="shared" si="5"/>
        <v/>
      </c>
      <c r="J17" s="51"/>
      <c r="K17" s="51"/>
      <c r="L17" s="51"/>
      <c r="M17" s="51"/>
      <c r="N17" s="51"/>
      <c r="O17" s="171"/>
      <c r="P17" s="51"/>
      <c r="Q17" s="51"/>
      <c r="R17" s="51"/>
      <c r="S17" s="51"/>
      <c r="T17" s="51"/>
      <c r="U17" s="171" t="str">
        <f t="shared" si="6"/>
        <v/>
      </c>
      <c r="V17" s="335"/>
      <c r="W17" s="335"/>
      <c r="X17" s="171" t="str">
        <f t="shared" si="7"/>
        <v/>
      </c>
      <c r="Y17" s="336" t="str">
        <f t="shared" si="8"/>
        <v/>
      </c>
      <c r="Z17" s="329"/>
      <c r="AA17" s="337"/>
      <c r="AB17" s="337"/>
      <c r="AC17" s="337"/>
      <c r="AD17" s="337"/>
      <c r="AE17" s="337"/>
      <c r="AF17" s="337"/>
      <c r="AG17" s="338"/>
      <c r="AH17" s="243"/>
    </row>
    <row r="18" spans="1:34" ht="15.75" x14ac:dyDescent="0.25">
      <c r="A18" s="311">
        <v>8</v>
      </c>
      <c r="B18" s="674"/>
      <c r="C18" s="675"/>
      <c r="D18" s="676"/>
      <c r="E18" s="677"/>
      <c r="F18" s="164" t="str">
        <f t="shared" si="1"/>
        <v/>
      </c>
      <c r="G18" s="677"/>
      <c r="H18" s="51"/>
      <c r="I18" s="171" t="str">
        <f t="shared" si="5"/>
        <v/>
      </c>
      <c r="J18" s="51"/>
      <c r="K18" s="51"/>
      <c r="L18" s="51"/>
      <c r="M18" s="51"/>
      <c r="N18" s="51"/>
      <c r="O18" s="171"/>
      <c r="P18" s="51"/>
      <c r="Q18" s="51"/>
      <c r="R18" s="51"/>
      <c r="S18" s="51"/>
      <c r="T18" s="51"/>
      <c r="U18" s="171" t="str">
        <f t="shared" si="6"/>
        <v/>
      </c>
      <c r="V18" s="335"/>
      <c r="W18" s="335"/>
      <c r="X18" s="171" t="str">
        <f t="shared" si="7"/>
        <v/>
      </c>
      <c r="Y18" s="336" t="str">
        <f t="shared" si="8"/>
        <v/>
      </c>
      <c r="Z18" s="329"/>
      <c r="AA18" s="337"/>
      <c r="AB18" s="337"/>
      <c r="AC18" s="337"/>
      <c r="AD18" s="337"/>
      <c r="AE18" s="337"/>
      <c r="AF18" s="337"/>
      <c r="AG18" s="338"/>
      <c r="AH18" s="243"/>
    </row>
    <row r="19" spans="1:34" ht="20.85" customHeight="1" x14ac:dyDescent="0.25">
      <c r="A19" s="311">
        <v>8</v>
      </c>
      <c r="B19" s="674"/>
      <c r="C19" s="675"/>
      <c r="D19" s="676"/>
      <c r="E19" s="677"/>
      <c r="F19" s="164" t="str">
        <f t="shared" si="1"/>
        <v/>
      </c>
      <c r="G19" s="677"/>
      <c r="H19" s="51"/>
      <c r="I19" s="171" t="str">
        <f t="shared" si="5"/>
        <v/>
      </c>
      <c r="J19" s="51"/>
      <c r="K19" s="51"/>
      <c r="L19" s="51"/>
      <c r="M19" s="51"/>
      <c r="N19" s="51"/>
      <c r="O19" s="171"/>
      <c r="P19" s="51"/>
      <c r="Q19" s="51"/>
      <c r="R19" s="51"/>
      <c r="S19" s="51"/>
      <c r="T19" s="51"/>
      <c r="U19" s="171" t="str">
        <f t="shared" si="6"/>
        <v/>
      </c>
      <c r="V19" s="335"/>
      <c r="W19" s="335"/>
      <c r="X19" s="171" t="str">
        <f t="shared" si="7"/>
        <v/>
      </c>
      <c r="Y19" s="336" t="str">
        <f t="shared" si="8"/>
        <v/>
      </c>
      <c r="Z19" s="329"/>
      <c r="AA19" s="337"/>
      <c r="AB19" s="297"/>
      <c r="AC19" s="337"/>
      <c r="AD19" s="337"/>
      <c r="AE19" s="337"/>
      <c r="AF19" s="337"/>
      <c r="AG19" s="338"/>
      <c r="AH19" s="243"/>
    </row>
    <row r="20" spans="1:34" ht="15.75" x14ac:dyDescent="0.25">
      <c r="A20" s="311">
        <v>8</v>
      </c>
      <c r="B20" s="674"/>
      <c r="C20" s="675"/>
      <c r="D20" s="676"/>
      <c r="E20" s="677"/>
      <c r="F20" s="164" t="str">
        <f t="shared" si="1"/>
        <v/>
      </c>
      <c r="G20" s="677"/>
      <c r="H20" s="51"/>
      <c r="I20" s="171" t="str">
        <f t="shared" si="5"/>
        <v/>
      </c>
      <c r="J20" s="51"/>
      <c r="K20" s="51"/>
      <c r="L20" s="51"/>
      <c r="M20" s="51"/>
      <c r="N20" s="51"/>
      <c r="O20" s="171"/>
      <c r="P20" s="51"/>
      <c r="Q20" s="51"/>
      <c r="R20" s="51"/>
      <c r="S20" s="51"/>
      <c r="T20" s="51"/>
      <c r="U20" s="171" t="str">
        <f t="shared" si="6"/>
        <v/>
      </c>
      <c r="V20" s="335"/>
      <c r="W20" s="335"/>
      <c r="X20" s="171" t="str">
        <f t="shared" si="7"/>
        <v/>
      </c>
      <c r="Y20" s="336" t="str">
        <f t="shared" si="8"/>
        <v/>
      </c>
      <c r="Z20" s="329"/>
      <c r="AA20" s="337"/>
      <c r="AB20" s="337"/>
      <c r="AC20" s="337"/>
      <c r="AD20" s="337"/>
      <c r="AE20" s="337"/>
      <c r="AF20" s="337"/>
      <c r="AG20" s="338"/>
      <c r="AH20" s="243"/>
    </row>
    <row r="21" spans="1:34" ht="15.75" x14ac:dyDescent="0.25">
      <c r="A21" s="311">
        <v>8</v>
      </c>
      <c r="B21" s="674"/>
      <c r="C21" s="675"/>
      <c r="D21" s="676"/>
      <c r="E21" s="677"/>
      <c r="F21" s="164" t="str">
        <f t="shared" si="1"/>
        <v/>
      </c>
      <c r="G21" s="677"/>
      <c r="H21" s="51"/>
      <c r="I21" s="171" t="str">
        <f t="shared" si="5"/>
        <v/>
      </c>
      <c r="J21" s="51"/>
      <c r="K21" s="51"/>
      <c r="L21" s="51"/>
      <c r="M21" s="51"/>
      <c r="N21" s="51"/>
      <c r="O21" s="171"/>
      <c r="P21" s="51"/>
      <c r="Q21" s="51"/>
      <c r="R21" s="51"/>
      <c r="S21" s="51"/>
      <c r="T21" s="51"/>
      <c r="U21" s="171" t="str">
        <f t="shared" si="6"/>
        <v/>
      </c>
      <c r="V21" s="335"/>
      <c r="W21" s="335"/>
      <c r="X21" s="171" t="str">
        <f t="shared" si="7"/>
        <v/>
      </c>
      <c r="Y21" s="336" t="str">
        <f t="shared" si="8"/>
        <v/>
      </c>
      <c r="Z21" s="329"/>
      <c r="AA21" s="337"/>
      <c r="AB21" s="337"/>
      <c r="AC21" s="337"/>
      <c r="AD21" s="337"/>
      <c r="AE21" s="337"/>
      <c r="AF21" s="337"/>
      <c r="AG21" s="338"/>
      <c r="AH21" s="243"/>
    </row>
    <row r="22" spans="1:34" ht="15.75" x14ac:dyDescent="0.25">
      <c r="A22" s="311">
        <v>8</v>
      </c>
      <c r="B22" s="674"/>
      <c r="C22" s="675"/>
      <c r="D22" s="676"/>
      <c r="E22" s="677"/>
      <c r="F22" s="164" t="str">
        <f t="shared" si="1"/>
        <v/>
      </c>
      <c r="G22" s="677"/>
      <c r="H22" s="51"/>
      <c r="I22" s="171" t="str">
        <f t="shared" si="5"/>
        <v/>
      </c>
      <c r="J22" s="51"/>
      <c r="K22" s="51"/>
      <c r="L22" s="51"/>
      <c r="M22" s="51"/>
      <c r="N22" s="51"/>
      <c r="O22" s="171"/>
      <c r="P22" s="51"/>
      <c r="Q22" s="51"/>
      <c r="R22" s="51"/>
      <c r="S22" s="51"/>
      <c r="T22" s="51"/>
      <c r="U22" s="171" t="str">
        <f t="shared" si="6"/>
        <v/>
      </c>
      <c r="V22" s="335"/>
      <c r="W22" s="335"/>
      <c r="X22" s="171" t="str">
        <f t="shared" si="7"/>
        <v/>
      </c>
      <c r="Y22" s="336" t="str">
        <f t="shared" si="8"/>
        <v/>
      </c>
      <c r="Z22" s="329"/>
      <c r="AA22" s="337"/>
      <c r="AB22" s="337"/>
      <c r="AC22" s="337"/>
      <c r="AD22" s="337"/>
      <c r="AE22" s="337"/>
      <c r="AF22" s="337"/>
      <c r="AG22" s="338"/>
      <c r="AH22" s="243"/>
    </row>
    <row r="23" spans="1:34" ht="15.75" x14ac:dyDescent="0.25">
      <c r="A23" s="311">
        <v>8</v>
      </c>
      <c r="B23" s="674"/>
      <c r="C23" s="675"/>
      <c r="D23" s="676"/>
      <c r="E23" s="677"/>
      <c r="F23" s="164" t="str">
        <f t="shared" si="1"/>
        <v/>
      </c>
      <c r="G23" s="677"/>
      <c r="H23" s="51"/>
      <c r="I23" s="171" t="str">
        <f t="shared" ref="I23:I26" si="9">IF(G23="S",IF(H23=3,1,IF(H23=2,0.6,IF(H23=1,0.3,0))),"")</f>
        <v/>
      </c>
      <c r="J23" s="51"/>
      <c r="K23" s="51"/>
      <c r="L23" s="51"/>
      <c r="M23" s="51"/>
      <c r="N23" s="51"/>
      <c r="O23" s="171"/>
      <c r="P23" s="51"/>
      <c r="Q23" s="51"/>
      <c r="R23" s="51"/>
      <c r="S23" s="51"/>
      <c r="T23" s="51"/>
      <c r="U23" s="171" t="str">
        <f t="shared" ref="U23:U26" si="10">IF(AND($F23=1,P23="S"),IF(Q23=3,1,IF(Q23=2,0.6,IF(Q23=1,0.3,0))),"")</f>
        <v/>
      </c>
      <c r="V23" s="335"/>
      <c r="W23" s="335"/>
      <c r="X23" s="171" t="str">
        <f t="shared" ref="X23:X27" si="11">IF($F23=1,IF(V23=3,1,IF(V23=2,0.6,IF(V23=1,0.3,0))),"")</f>
        <v/>
      </c>
      <c r="Y23" s="336" t="str">
        <f t="shared" ref="Y23:Y27" si="12">IF(NOT(ISBLANK(D23)),IF(OR(ISNUMBER(I23),ISNUMBER(O23),ISNUMBER(U23),ISNUMBER(X23)),AVERAGE(I23,O23,U23,X23),0),"")</f>
        <v/>
      </c>
      <c r="Z23" s="329"/>
      <c r="AA23" s="337"/>
      <c r="AB23" s="337"/>
      <c r="AC23" s="337"/>
      <c r="AD23" s="337"/>
      <c r="AE23" s="337"/>
      <c r="AF23" s="337"/>
      <c r="AG23" s="338"/>
      <c r="AH23" s="243"/>
    </row>
    <row r="24" spans="1:34" ht="15.75" x14ac:dyDescent="0.25">
      <c r="A24" s="311">
        <v>8</v>
      </c>
      <c r="B24" s="674"/>
      <c r="C24" s="675"/>
      <c r="D24" s="676"/>
      <c r="E24" s="677"/>
      <c r="F24" s="164" t="str">
        <f t="shared" si="1"/>
        <v/>
      </c>
      <c r="G24" s="677"/>
      <c r="H24" s="51"/>
      <c r="I24" s="171" t="str">
        <f t="shared" si="9"/>
        <v/>
      </c>
      <c r="J24" s="51"/>
      <c r="K24" s="51"/>
      <c r="L24" s="51"/>
      <c r="M24" s="51"/>
      <c r="N24" s="51"/>
      <c r="O24" s="171"/>
      <c r="P24" s="51"/>
      <c r="Q24" s="51"/>
      <c r="R24" s="51"/>
      <c r="S24" s="51"/>
      <c r="T24" s="51"/>
      <c r="U24" s="171" t="str">
        <f t="shared" si="10"/>
        <v/>
      </c>
      <c r="V24" s="335"/>
      <c r="W24" s="335"/>
      <c r="X24" s="171" t="str">
        <f t="shared" si="11"/>
        <v/>
      </c>
      <c r="Y24" s="336" t="str">
        <f t="shared" si="12"/>
        <v/>
      </c>
      <c r="Z24" s="329"/>
      <c r="AA24" s="337"/>
      <c r="AB24" s="337"/>
      <c r="AC24" s="337"/>
      <c r="AD24" s="337"/>
      <c r="AE24" s="337"/>
      <c r="AF24" s="337"/>
      <c r="AG24" s="338"/>
      <c r="AH24" s="243"/>
    </row>
    <row r="25" spans="1:34" ht="15.75" x14ac:dyDescent="0.25">
      <c r="A25" s="311">
        <v>8</v>
      </c>
      <c r="B25" s="674"/>
      <c r="C25" s="675"/>
      <c r="D25" s="676"/>
      <c r="E25" s="677"/>
      <c r="F25" s="164" t="str">
        <f t="shared" si="1"/>
        <v/>
      </c>
      <c r="G25" s="677"/>
      <c r="H25" s="51"/>
      <c r="I25" s="171" t="str">
        <f t="shared" si="9"/>
        <v/>
      </c>
      <c r="J25" s="51"/>
      <c r="K25" s="51"/>
      <c r="L25" s="51"/>
      <c r="M25" s="51"/>
      <c r="N25" s="51"/>
      <c r="O25" s="171"/>
      <c r="P25" s="51"/>
      <c r="Q25" s="51"/>
      <c r="R25" s="51"/>
      <c r="S25" s="51"/>
      <c r="T25" s="51"/>
      <c r="U25" s="171" t="str">
        <f t="shared" si="10"/>
        <v/>
      </c>
      <c r="V25" s="335"/>
      <c r="W25" s="335"/>
      <c r="X25" s="171" t="str">
        <f t="shared" si="11"/>
        <v/>
      </c>
      <c r="Y25" s="336" t="str">
        <f t="shared" si="12"/>
        <v/>
      </c>
      <c r="Z25" s="329"/>
      <c r="AA25" s="337"/>
      <c r="AB25" s="337"/>
      <c r="AC25" s="337"/>
      <c r="AD25" s="337"/>
      <c r="AE25" s="337"/>
      <c r="AF25" s="337"/>
      <c r="AG25" s="338"/>
      <c r="AH25" s="243"/>
    </row>
    <row r="26" spans="1:34" ht="15.75" x14ac:dyDescent="0.25">
      <c r="A26" s="311">
        <v>8</v>
      </c>
      <c r="B26" s="674"/>
      <c r="C26" s="675"/>
      <c r="D26" s="676"/>
      <c r="E26" s="677"/>
      <c r="F26" s="164" t="str">
        <f t="shared" si="1"/>
        <v/>
      </c>
      <c r="G26" s="677"/>
      <c r="H26" s="51"/>
      <c r="I26" s="171" t="str">
        <f t="shared" si="9"/>
        <v/>
      </c>
      <c r="J26" s="51"/>
      <c r="K26" s="51"/>
      <c r="L26" s="51"/>
      <c r="M26" s="51"/>
      <c r="N26" s="51"/>
      <c r="O26" s="171"/>
      <c r="P26" s="51"/>
      <c r="Q26" s="51"/>
      <c r="R26" s="51"/>
      <c r="S26" s="51"/>
      <c r="T26" s="51"/>
      <c r="U26" s="171" t="str">
        <f t="shared" si="10"/>
        <v/>
      </c>
      <c r="V26" s="335"/>
      <c r="W26" s="335"/>
      <c r="X26" s="171" t="str">
        <f t="shared" si="11"/>
        <v/>
      </c>
      <c r="Y26" s="336" t="str">
        <f t="shared" si="12"/>
        <v/>
      </c>
      <c r="Z26" s="329"/>
      <c r="AA26" s="337"/>
      <c r="AB26" s="337"/>
      <c r="AC26" s="337"/>
      <c r="AD26" s="337"/>
      <c r="AE26" s="337"/>
      <c r="AF26" s="337"/>
      <c r="AG26" s="338"/>
      <c r="AH26" s="243"/>
    </row>
    <row r="27" spans="1:34" ht="15.75" x14ac:dyDescent="0.25">
      <c r="A27" s="311">
        <v>8</v>
      </c>
      <c r="B27" s="674"/>
      <c r="C27" s="675"/>
      <c r="D27" s="676"/>
      <c r="E27" s="677"/>
      <c r="F27" s="164" t="str">
        <f t="shared" si="1"/>
        <v/>
      </c>
      <c r="G27" s="677"/>
      <c r="H27" s="51"/>
      <c r="I27" s="171" t="str">
        <f t="shared" ref="I27" si="13">IF(G27="S",IF(H27=3,1,IF(H27=2,0.6,IF(H27=1,0.3,0))),"")</f>
        <v/>
      </c>
      <c r="J27" s="51"/>
      <c r="K27" s="51"/>
      <c r="L27" s="51"/>
      <c r="M27" s="51"/>
      <c r="N27" s="51"/>
      <c r="O27" s="171"/>
      <c r="P27" s="51"/>
      <c r="Q27" s="51"/>
      <c r="R27" s="51"/>
      <c r="S27" s="51"/>
      <c r="T27" s="51"/>
      <c r="U27" s="171" t="str">
        <f t="shared" ref="U27" si="14">IF(AND($F27=1,P27="S"),IF(Q27=3,1,IF(Q27=2,0.6,IF(Q27=1,0.3,0))),"")</f>
        <v/>
      </c>
      <c r="V27" s="335"/>
      <c r="W27" s="335"/>
      <c r="X27" s="171" t="str">
        <f t="shared" si="11"/>
        <v/>
      </c>
      <c r="Y27" s="336" t="str">
        <f t="shared" si="12"/>
        <v/>
      </c>
      <c r="Z27" s="329"/>
      <c r="AA27" s="337"/>
      <c r="AB27" s="337"/>
      <c r="AC27" s="337"/>
      <c r="AD27" s="337"/>
      <c r="AE27" s="337"/>
      <c r="AF27" s="337"/>
      <c r="AG27" s="338"/>
      <c r="AH27" s="243"/>
    </row>
    <row r="28" spans="1:34" ht="15.75" x14ac:dyDescent="0.25">
      <c r="A28" s="311">
        <v>8</v>
      </c>
      <c r="B28" s="674"/>
      <c r="C28" s="675"/>
      <c r="D28" s="676"/>
      <c r="E28" s="677"/>
      <c r="F28" s="164" t="str">
        <f t="shared" si="1"/>
        <v/>
      </c>
      <c r="G28" s="677"/>
      <c r="H28" s="51"/>
      <c r="I28" s="171" t="str">
        <f t="shared" si="5"/>
        <v/>
      </c>
      <c r="J28" s="51"/>
      <c r="K28" s="51"/>
      <c r="L28" s="51"/>
      <c r="M28" s="51"/>
      <c r="N28" s="51"/>
      <c r="O28" s="171"/>
      <c r="P28" s="51"/>
      <c r="Q28" s="51"/>
      <c r="R28" s="51"/>
      <c r="S28" s="51"/>
      <c r="T28" s="51"/>
      <c r="U28" s="171" t="str">
        <f t="shared" ref="U28" si="15">IF(AND($F28=1,P28="S"),IF(Q28=3,1,IF(Q28=2,0.6,IF(Q28=1,0.3,0))),"")</f>
        <v/>
      </c>
      <c r="V28" s="335"/>
      <c r="W28" s="335"/>
      <c r="X28" s="171" t="str">
        <f t="shared" si="7"/>
        <v/>
      </c>
      <c r="Y28" s="336" t="str">
        <f t="shared" si="8"/>
        <v/>
      </c>
      <c r="Z28" s="329"/>
      <c r="AA28" s="337"/>
      <c r="AB28" s="337"/>
      <c r="AC28" s="337"/>
      <c r="AD28" s="337"/>
      <c r="AE28" s="337"/>
      <c r="AF28" s="337"/>
      <c r="AG28" s="338"/>
      <c r="AH28" s="243"/>
    </row>
    <row r="29" spans="1:34" ht="15.75" x14ac:dyDescent="0.25">
      <c r="A29" s="311">
        <v>8</v>
      </c>
      <c r="B29" s="674"/>
      <c r="C29" s="675"/>
      <c r="D29" s="676"/>
      <c r="E29" s="677"/>
      <c r="F29" s="164" t="str">
        <f t="shared" si="1"/>
        <v/>
      </c>
      <c r="G29" s="677"/>
      <c r="H29" s="51"/>
      <c r="I29" s="171" t="str">
        <f t="shared" si="5"/>
        <v/>
      </c>
      <c r="J29" s="51"/>
      <c r="K29" s="51"/>
      <c r="L29" s="51"/>
      <c r="M29" s="51"/>
      <c r="N29" s="51"/>
      <c r="O29" s="171"/>
      <c r="P29" s="51"/>
      <c r="Q29" s="51"/>
      <c r="R29" s="51"/>
      <c r="S29" s="51"/>
      <c r="T29" s="51"/>
      <c r="U29" s="171" t="str">
        <f t="shared" si="3"/>
        <v/>
      </c>
      <c r="V29" s="335"/>
      <c r="W29" s="335"/>
      <c r="X29" s="171" t="str">
        <f t="shared" si="4"/>
        <v/>
      </c>
      <c r="Y29" s="336" t="str">
        <f t="shared" si="0"/>
        <v/>
      </c>
      <c r="Z29" s="329"/>
      <c r="AA29" s="337"/>
      <c r="AB29" s="337"/>
      <c r="AC29" s="337"/>
      <c r="AD29" s="337"/>
      <c r="AE29" s="337"/>
      <c r="AF29" s="337"/>
      <c r="AG29" s="338"/>
      <c r="AH29" s="243"/>
    </row>
    <row r="30" spans="1:34" ht="15.75" x14ac:dyDescent="0.25">
      <c r="A30" s="311">
        <v>8</v>
      </c>
      <c r="B30" s="674"/>
      <c r="C30" s="675"/>
      <c r="D30" s="676"/>
      <c r="E30" s="677"/>
      <c r="F30" s="164" t="str">
        <f t="shared" si="1"/>
        <v/>
      </c>
      <c r="G30" s="677"/>
      <c r="H30" s="51"/>
      <c r="I30" s="171" t="str">
        <f t="shared" ref="I30" si="16">IF(G30="S",IF(H30=3,1,IF(H30=2,0.6,IF(H30=1,0.3,0))),"")</f>
        <v/>
      </c>
      <c r="J30" s="51"/>
      <c r="K30" s="51"/>
      <c r="L30" s="51"/>
      <c r="M30" s="51"/>
      <c r="N30" s="51"/>
      <c r="O30" s="171"/>
      <c r="P30" s="51"/>
      <c r="Q30" s="51"/>
      <c r="R30" s="51"/>
      <c r="S30" s="51"/>
      <c r="T30" s="51"/>
      <c r="U30" s="171" t="str">
        <f t="shared" si="3"/>
        <v/>
      </c>
      <c r="V30" s="335"/>
      <c r="W30" s="335"/>
      <c r="X30" s="171" t="str">
        <f t="shared" si="4"/>
        <v/>
      </c>
      <c r="Y30" s="336" t="str">
        <f t="shared" si="0"/>
        <v/>
      </c>
      <c r="Z30" s="329"/>
      <c r="AA30" s="337"/>
      <c r="AB30" s="337"/>
      <c r="AC30" s="337"/>
      <c r="AD30" s="337"/>
      <c r="AE30" s="337"/>
      <c r="AF30" s="337"/>
      <c r="AG30" s="338"/>
      <c r="AH30" s="243"/>
    </row>
    <row r="31" spans="1:34" ht="15.75" x14ac:dyDescent="0.25">
      <c r="A31" s="311">
        <v>8</v>
      </c>
      <c r="B31" s="674"/>
      <c r="C31" s="675"/>
      <c r="D31" s="676"/>
      <c r="E31" s="677"/>
      <c r="F31" s="164" t="str">
        <f t="shared" si="1"/>
        <v/>
      </c>
      <c r="G31" s="677"/>
      <c r="H31" s="51"/>
      <c r="I31" s="171" t="str">
        <f>IF(G31="S",IF(H31=3,1,IF(H31=2,0.6,IF(H31=1,0.3,0))),"")</f>
        <v/>
      </c>
      <c r="J31" s="51"/>
      <c r="K31" s="51"/>
      <c r="L31" s="51"/>
      <c r="M31" s="51"/>
      <c r="N31" s="51"/>
      <c r="O31" s="171"/>
      <c r="P31" s="51"/>
      <c r="Q31" s="51"/>
      <c r="R31" s="51"/>
      <c r="S31" s="51"/>
      <c r="T31" s="51"/>
      <c r="U31" s="171" t="str">
        <f>IF(AND($F31=1,P31="S"),IF(Q31=3,1,IF(Q31=2,0.6,IF(Q31=1,0.3,0))),"")</f>
        <v/>
      </c>
      <c r="V31" s="335"/>
      <c r="W31" s="335"/>
      <c r="X31" s="171" t="str">
        <f>IF($F31=1,IF(V31=3,1,IF(V31=2,0.6,IF(V31=1,0.3,0))),"")</f>
        <v/>
      </c>
      <c r="Y31" s="336" t="str">
        <f>IF(NOT(ISBLANK(D31)),IF(OR(ISNUMBER(I31),ISNUMBER(O31),ISNUMBER(U31),ISNUMBER(X31)),AVERAGE(I31,O31,U31,X31),0),"")</f>
        <v/>
      </c>
      <c r="Z31" s="329"/>
      <c r="AA31" s="337"/>
      <c r="AB31" s="337"/>
      <c r="AC31" s="337"/>
      <c r="AD31" s="337"/>
      <c r="AE31" s="337"/>
      <c r="AF31" s="337"/>
      <c r="AG31" s="338"/>
      <c r="AH31" s="243"/>
    </row>
    <row r="32" spans="1:34" ht="15.75" x14ac:dyDescent="0.25">
      <c r="A32" s="311">
        <v>8</v>
      </c>
      <c r="B32" s="674"/>
      <c r="C32" s="675"/>
      <c r="D32" s="676"/>
      <c r="E32" s="677"/>
      <c r="F32" s="164" t="str">
        <f t="shared" si="1"/>
        <v/>
      </c>
      <c r="G32" s="677"/>
      <c r="H32" s="51"/>
      <c r="I32" s="171" t="str">
        <f>IF(G32="S",IF(H32=3,1,IF(H32=2,0.6,IF(H32=1,0.3,0))),"")</f>
        <v/>
      </c>
      <c r="J32" s="51"/>
      <c r="K32" s="51"/>
      <c r="L32" s="51"/>
      <c r="M32" s="51"/>
      <c r="N32" s="51"/>
      <c r="O32" s="171"/>
      <c r="P32" s="51"/>
      <c r="Q32" s="51"/>
      <c r="R32" s="51"/>
      <c r="S32" s="51"/>
      <c r="T32" s="51"/>
      <c r="U32" s="171" t="str">
        <f>IF(AND($F32=1,P32="S"),IF(Q32=3,1,IF(Q32=2,0.6,IF(Q32=1,0.3,0))),"")</f>
        <v/>
      </c>
      <c r="V32" s="335"/>
      <c r="W32" s="335"/>
      <c r="X32" s="171" t="str">
        <f>IF($F32=1,IF(V32=3,1,IF(V32=2,0.6,IF(V32=1,0.3,0))),"")</f>
        <v/>
      </c>
      <c r="Y32" s="336" t="str">
        <f>IF(NOT(ISBLANK(D32)),IF(OR(ISNUMBER(I32),ISNUMBER(O32),ISNUMBER(U32),ISNUMBER(X32)),AVERAGE(I32,O32,U32,X32),0),"")</f>
        <v/>
      </c>
      <c r="Z32" s="329"/>
      <c r="AA32" s="337"/>
      <c r="AB32" s="337"/>
      <c r="AC32" s="337"/>
      <c r="AD32" s="337"/>
      <c r="AE32" s="337"/>
      <c r="AF32" s="337"/>
      <c r="AG32" s="338"/>
      <c r="AH32" s="243"/>
    </row>
    <row r="33" spans="1:34" ht="15.75" x14ac:dyDescent="0.25">
      <c r="A33" s="311">
        <v>8</v>
      </c>
      <c r="B33" s="674"/>
      <c r="C33" s="675"/>
      <c r="D33" s="676"/>
      <c r="E33" s="677"/>
      <c r="F33" s="164" t="str">
        <f t="shared" si="1"/>
        <v/>
      </c>
      <c r="G33" s="677"/>
      <c r="H33" s="51"/>
      <c r="I33" s="171" t="str">
        <f>IF(G33="S",IF(H33=3,1,IF(H33=2,0.6,IF(H33=1,0.3,0))),"")</f>
        <v/>
      </c>
      <c r="J33" s="51"/>
      <c r="K33" s="51"/>
      <c r="L33" s="51"/>
      <c r="M33" s="51"/>
      <c r="N33" s="51"/>
      <c r="O33" s="171"/>
      <c r="P33" s="51"/>
      <c r="Q33" s="51"/>
      <c r="R33" s="51"/>
      <c r="S33" s="51"/>
      <c r="T33" s="51"/>
      <c r="U33" s="171" t="str">
        <f>IF(AND($F33=1,P33="S"),IF(Q33=3,1,IF(Q33=2,0.6,IF(Q33=1,0.3,0))),"")</f>
        <v/>
      </c>
      <c r="V33" s="335"/>
      <c r="W33" s="335"/>
      <c r="X33" s="171" t="str">
        <f>IF($F33=1,IF(V33=3,1,IF(V33=2,0.6,IF(V33=1,0.3,0))),"")</f>
        <v/>
      </c>
      <c r="Y33" s="336" t="str">
        <f>IF(NOT(ISBLANK(D33)),IF(OR(ISNUMBER(I33),ISNUMBER(O33),ISNUMBER(U33),ISNUMBER(X33)),AVERAGE(I33,O33,U33,X33),0),"")</f>
        <v/>
      </c>
      <c r="Z33" s="329"/>
      <c r="AA33" s="337"/>
      <c r="AB33" s="337"/>
      <c r="AC33" s="337"/>
      <c r="AD33" s="337"/>
      <c r="AE33" s="337"/>
      <c r="AF33" s="337"/>
      <c r="AG33" s="338"/>
      <c r="AH33" s="243"/>
    </row>
    <row r="34" spans="1:34" ht="15.75" x14ac:dyDescent="0.25">
      <c r="A34" s="311">
        <v>8</v>
      </c>
      <c r="B34" s="674"/>
      <c r="C34" s="675"/>
      <c r="D34" s="676"/>
      <c r="E34" s="677"/>
      <c r="F34" s="164" t="str">
        <f t="shared" si="1"/>
        <v/>
      </c>
      <c r="G34" s="677"/>
      <c r="H34" s="51"/>
      <c r="I34" s="171" t="str">
        <f t="shared" si="2"/>
        <v/>
      </c>
      <c r="J34" s="51"/>
      <c r="K34" s="51"/>
      <c r="L34" s="51"/>
      <c r="M34" s="51"/>
      <c r="N34" s="51"/>
      <c r="O34" s="171"/>
      <c r="P34" s="51"/>
      <c r="Q34" s="51"/>
      <c r="R34" s="51"/>
      <c r="S34" s="51"/>
      <c r="T34" s="51"/>
      <c r="U34" s="171" t="str">
        <f t="shared" si="3"/>
        <v/>
      </c>
      <c r="V34" s="335"/>
      <c r="W34" s="335"/>
      <c r="X34" s="171" t="str">
        <f t="shared" si="4"/>
        <v/>
      </c>
      <c r="Y34" s="336" t="str">
        <f t="shared" si="0"/>
        <v/>
      </c>
      <c r="Z34" s="329"/>
      <c r="AA34" s="337"/>
      <c r="AB34" s="337"/>
      <c r="AC34" s="337"/>
      <c r="AD34" s="337"/>
      <c r="AE34" s="337"/>
      <c r="AF34" s="337"/>
      <c r="AG34" s="338"/>
      <c r="AH34" s="243"/>
    </row>
    <row r="35" spans="1:34" ht="15.75" x14ac:dyDescent="0.25">
      <c r="A35" s="311">
        <v>8</v>
      </c>
      <c r="B35" s="674"/>
      <c r="C35" s="675"/>
      <c r="D35" s="676"/>
      <c r="E35" s="677"/>
      <c r="F35" s="164" t="str">
        <f t="shared" si="1"/>
        <v/>
      </c>
      <c r="G35" s="677"/>
      <c r="H35" s="51"/>
      <c r="I35" s="171" t="str">
        <f t="shared" si="2"/>
        <v/>
      </c>
      <c r="J35" s="51"/>
      <c r="K35" s="51"/>
      <c r="L35" s="51"/>
      <c r="M35" s="51"/>
      <c r="N35" s="51"/>
      <c r="O35" s="171"/>
      <c r="P35" s="51"/>
      <c r="Q35" s="51"/>
      <c r="R35" s="51"/>
      <c r="S35" s="51"/>
      <c r="T35" s="51"/>
      <c r="U35" s="171" t="str">
        <f t="shared" si="3"/>
        <v/>
      </c>
      <c r="V35" s="335"/>
      <c r="W35" s="335"/>
      <c r="X35" s="171" t="str">
        <f t="shared" si="4"/>
        <v/>
      </c>
      <c r="Y35" s="336" t="str">
        <f t="shared" si="0"/>
        <v/>
      </c>
      <c r="Z35" s="329"/>
      <c r="AA35" s="337"/>
      <c r="AB35" s="337"/>
      <c r="AC35" s="337"/>
      <c r="AD35" s="337"/>
      <c r="AE35" s="337"/>
      <c r="AF35" s="337"/>
      <c r="AG35" s="338"/>
      <c r="AH35" s="243"/>
    </row>
    <row r="36" spans="1:34" ht="15.75" x14ac:dyDescent="0.25">
      <c r="A36" s="311">
        <v>8</v>
      </c>
      <c r="B36" s="674"/>
      <c r="C36" s="675"/>
      <c r="D36" s="676"/>
      <c r="E36" s="677"/>
      <c r="F36" s="164" t="str">
        <f t="shared" si="1"/>
        <v/>
      </c>
      <c r="G36" s="677"/>
      <c r="H36" s="51"/>
      <c r="I36" s="171" t="str">
        <f t="shared" si="2"/>
        <v/>
      </c>
      <c r="J36" s="51"/>
      <c r="K36" s="51"/>
      <c r="L36" s="51"/>
      <c r="M36" s="51"/>
      <c r="N36" s="51"/>
      <c r="O36" s="171"/>
      <c r="P36" s="51"/>
      <c r="Q36" s="51"/>
      <c r="R36" s="51"/>
      <c r="S36" s="51"/>
      <c r="T36" s="51"/>
      <c r="U36" s="171" t="str">
        <f t="shared" si="3"/>
        <v/>
      </c>
      <c r="V36" s="335"/>
      <c r="W36" s="335"/>
      <c r="X36" s="171" t="str">
        <f t="shared" si="4"/>
        <v/>
      </c>
      <c r="Y36" s="336" t="str">
        <f t="shared" si="0"/>
        <v/>
      </c>
      <c r="Z36" s="329"/>
      <c r="AA36" s="337"/>
      <c r="AB36" s="337"/>
      <c r="AC36" s="337"/>
      <c r="AD36" s="337"/>
      <c r="AE36" s="337"/>
      <c r="AF36" s="337"/>
      <c r="AG36" s="338"/>
      <c r="AH36" s="243"/>
    </row>
    <row r="37" spans="1:34" ht="15.75" x14ac:dyDescent="0.25">
      <c r="A37" s="311">
        <v>8</v>
      </c>
      <c r="B37" s="161"/>
      <c r="C37" s="685"/>
      <c r="D37" s="684"/>
      <c r="E37" s="51"/>
      <c r="F37" s="164" t="str">
        <f t="shared" si="1"/>
        <v/>
      </c>
      <c r="G37" s="51"/>
      <c r="H37" s="51"/>
      <c r="I37" s="171" t="str">
        <f t="shared" si="2"/>
        <v/>
      </c>
      <c r="J37" s="51"/>
      <c r="K37" s="51"/>
      <c r="L37" s="51"/>
      <c r="M37" s="51"/>
      <c r="N37" s="51"/>
      <c r="O37" s="171" t="str">
        <f t="shared" ref="O37:O48" si="17">IF(AND($F37=1,J37="S"),IF(K37=3,1,IF(K37=2,0.6,IF(K37=1,0.3,0))),"")</f>
        <v/>
      </c>
      <c r="P37" s="51"/>
      <c r="Q37" s="51"/>
      <c r="R37" s="51"/>
      <c r="S37" s="51"/>
      <c r="T37" s="51"/>
      <c r="U37" s="171" t="str">
        <f t="shared" si="3"/>
        <v/>
      </c>
      <c r="V37" s="335"/>
      <c r="W37" s="335"/>
      <c r="X37" s="171" t="str">
        <f t="shared" si="4"/>
        <v/>
      </c>
      <c r="Y37" s="336" t="str">
        <f t="shared" si="0"/>
        <v/>
      </c>
      <c r="Z37" s="329"/>
      <c r="AA37" s="337"/>
      <c r="AB37" s="337"/>
      <c r="AC37" s="337"/>
      <c r="AD37" s="337"/>
      <c r="AE37" s="337"/>
      <c r="AF37" s="337"/>
      <c r="AG37" s="338"/>
      <c r="AH37" s="243"/>
    </row>
    <row r="38" spans="1:34" ht="15.75" x14ac:dyDescent="0.25">
      <c r="A38" s="311">
        <v>8</v>
      </c>
      <c r="B38" s="161"/>
      <c r="C38" s="685"/>
      <c r="D38" s="684"/>
      <c r="E38" s="51"/>
      <c r="F38" s="164" t="str">
        <f t="shared" si="1"/>
        <v/>
      </c>
      <c r="G38" s="51"/>
      <c r="H38" s="51"/>
      <c r="I38" s="171" t="str">
        <f t="shared" si="2"/>
        <v/>
      </c>
      <c r="J38" s="51"/>
      <c r="K38" s="51"/>
      <c r="L38" s="51"/>
      <c r="M38" s="51"/>
      <c r="N38" s="51"/>
      <c r="O38" s="171" t="str">
        <f t="shared" si="17"/>
        <v/>
      </c>
      <c r="P38" s="51"/>
      <c r="Q38" s="51"/>
      <c r="R38" s="51"/>
      <c r="S38" s="51"/>
      <c r="T38" s="51"/>
      <c r="U38" s="171" t="str">
        <f t="shared" si="3"/>
        <v/>
      </c>
      <c r="V38" s="335"/>
      <c r="W38" s="335"/>
      <c r="X38" s="171" t="str">
        <f t="shared" si="4"/>
        <v/>
      </c>
      <c r="Y38" s="336" t="str">
        <f t="shared" si="0"/>
        <v/>
      </c>
      <c r="Z38" s="329"/>
      <c r="AA38" s="337"/>
      <c r="AB38" s="337"/>
      <c r="AC38" s="337"/>
      <c r="AD38" s="337"/>
      <c r="AE38" s="337"/>
      <c r="AF38" s="337"/>
      <c r="AG38" s="338"/>
      <c r="AH38" s="243"/>
    </row>
    <row r="39" spans="1:34" ht="15.75" x14ac:dyDescent="0.25">
      <c r="A39" s="311">
        <v>8</v>
      </c>
      <c r="B39" s="161"/>
      <c r="C39" s="685"/>
      <c r="D39" s="684"/>
      <c r="E39" s="51"/>
      <c r="F39" s="164" t="str">
        <f t="shared" si="1"/>
        <v/>
      </c>
      <c r="G39" s="51"/>
      <c r="H39" s="51"/>
      <c r="I39" s="171" t="str">
        <f t="shared" si="2"/>
        <v/>
      </c>
      <c r="J39" s="51"/>
      <c r="K39" s="51"/>
      <c r="L39" s="51"/>
      <c r="M39" s="51"/>
      <c r="N39" s="51"/>
      <c r="O39" s="171" t="str">
        <f t="shared" si="17"/>
        <v/>
      </c>
      <c r="P39" s="51"/>
      <c r="Q39" s="51"/>
      <c r="R39" s="51"/>
      <c r="S39" s="51"/>
      <c r="T39" s="51"/>
      <c r="U39" s="171" t="str">
        <f t="shared" si="3"/>
        <v/>
      </c>
      <c r="V39" s="335"/>
      <c r="W39" s="335"/>
      <c r="X39" s="171" t="str">
        <f t="shared" si="4"/>
        <v/>
      </c>
      <c r="Y39" s="336" t="str">
        <f t="shared" si="0"/>
        <v/>
      </c>
      <c r="Z39" s="329"/>
      <c r="AA39" s="337"/>
      <c r="AB39" s="337"/>
      <c r="AC39" s="337"/>
      <c r="AD39" s="337"/>
      <c r="AE39" s="337"/>
      <c r="AF39" s="337"/>
      <c r="AG39" s="338"/>
      <c r="AH39" s="243"/>
    </row>
    <row r="40" spans="1:34" ht="32.25" customHeight="1" x14ac:dyDescent="0.25">
      <c r="A40" s="311">
        <v>8</v>
      </c>
      <c r="B40" s="161"/>
      <c r="C40" s="685"/>
      <c r="D40" s="684"/>
      <c r="E40" s="51"/>
      <c r="F40" s="164" t="str">
        <f t="shared" si="1"/>
        <v/>
      </c>
      <c r="G40" s="51"/>
      <c r="H40" s="51"/>
      <c r="I40" s="171" t="str">
        <f t="shared" si="2"/>
        <v/>
      </c>
      <c r="J40" s="51"/>
      <c r="K40" s="51"/>
      <c r="L40" s="51"/>
      <c r="M40" s="51"/>
      <c r="N40" s="51"/>
      <c r="O40" s="171" t="str">
        <f t="shared" si="17"/>
        <v/>
      </c>
      <c r="P40" s="51"/>
      <c r="Q40" s="51"/>
      <c r="R40" s="51"/>
      <c r="S40" s="51"/>
      <c r="T40" s="51"/>
      <c r="U40" s="171" t="str">
        <f t="shared" si="3"/>
        <v/>
      </c>
      <c r="V40" s="335"/>
      <c r="W40" s="335"/>
      <c r="X40" s="171" t="str">
        <f t="shared" si="4"/>
        <v/>
      </c>
      <c r="Y40" s="336" t="str">
        <f t="shared" si="0"/>
        <v/>
      </c>
      <c r="Z40" s="329"/>
      <c r="AA40" s="337"/>
      <c r="AB40" s="297"/>
      <c r="AC40" s="337"/>
      <c r="AD40" s="337"/>
      <c r="AE40" s="337"/>
      <c r="AF40" s="337"/>
      <c r="AG40" s="338"/>
      <c r="AH40" s="243"/>
    </row>
    <row r="41" spans="1:34" ht="15.75" x14ac:dyDescent="0.25">
      <c r="A41" s="311">
        <v>8</v>
      </c>
      <c r="B41" s="161"/>
      <c r="C41" s="333"/>
      <c r="D41" s="334"/>
      <c r="E41" s="51"/>
      <c r="F41" s="164" t="str">
        <f t="shared" si="1"/>
        <v/>
      </c>
      <c r="G41" s="51"/>
      <c r="H41" s="51"/>
      <c r="I41" s="171" t="str">
        <f t="shared" si="2"/>
        <v/>
      </c>
      <c r="J41" s="51"/>
      <c r="K41" s="51"/>
      <c r="L41" s="51"/>
      <c r="M41" s="51"/>
      <c r="N41" s="51"/>
      <c r="O41" s="171" t="str">
        <f t="shared" si="17"/>
        <v/>
      </c>
      <c r="P41" s="51"/>
      <c r="Q41" s="51"/>
      <c r="R41" s="51"/>
      <c r="S41" s="51"/>
      <c r="T41" s="51"/>
      <c r="U41" s="171" t="str">
        <f t="shared" si="3"/>
        <v/>
      </c>
      <c r="V41" s="335"/>
      <c r="W41" s="335"/>
      <c r="X41" s="171" t="str">
        <f t="shared" si="4"/>
        <v/>
      </c>
      <c r="Y41" s="336" t="str">
        <f t="shared" si="0"/>
        <v/>
      </c>
      <c r="Z41" s="329"/>
      <c r="AA41" s="337"/>
      <c r="AB41" s="337"/>
      <c r="AC41" s="337"/>
      <c r="AD41" s="337"/>
      <c r="AE41" s="337"/>
      <c r="AF41" s="337"/>
      <c r="AG41" s="338"/>
      <c r="AH41" s="243"/>
    </row>
    <row r="42" spans="1:34" ht="15.75" x14ac:dyDescent="0.25">
      <c r="A42" s="311">
        <v>8</v>
      </c>
      <c r="B42" s="161"/>
      <c r="C42" s="333"/>
      <c r="D42" s="334"/>
      <c r="E42" s="51"/>
      <c r="F42" s="164" t="str">
        <f t="shared" si="1"/>
        <v/>
      </c>
      <c r="G42" s="51"/>
      <c r="H42" s="51"/>
      <c r="I42" s="171" t="str">
        <f t="shared" si="2"/>
        <v/>
      </c>
      <c r="J42" s="51"/>
      <c r="K42" s="51"/>
      <c r="L42" s="51"/>
      <c r="M42" s="51"/>
      <c r="N42" s="51"/>
      <c r="O42" s="171" t="str">
        <f t="shared" si="17"/>
        <v/>
      </c>
      <c r="P42" s="51"/>
      <c r="Q42" s="51"/>
      <c r="R42" s="51"/>
      <c r="S42" s="51"/>
      <c r="T42" s="51"/>
      <c r="U42" s="171" t="str">
        <f t="shared" si="3"/>
        <v/>
      </c>
      <c r="V42" s="335"/>
      <c r="W42" s="335"/>
      <c r="X42" s="171" t="str">
        <f t="shared" si="4"/>
        <v/>
      </c>
      <c r="Y42" s="336" t="str">
        <f t="shared" si="0"/>
        <v/>
      </c>
      <c r="Z42" s="329"/>
      <c r="AA42" s="337"/>
      <c r="AB42" s="337"/>
      <c r="AC42" s="337"/>
      <c r="AD42" s="337"/>
      <c r="AE42" s="337"/>
      <c r="AF42" s="337"/>
      <c r="AG42" s="338"/>
      <c r="AH42" s="243"/>
    </row>
    <row r="43" spans="1:34" ht="15.75" x14ac:dyDescent="0.25">
      <c r="A43" s="311">
        <v>8</v>
      </c>
      <c r="B43" s="161"/>
      <c r="C43" s="333"/>
      <c r="D43" s="334"/>
      <c r="E43" s="51"/>
      <c r="F43" s="164" t="str">
        <f t="shared" si="1"/>
        <v/>
      </c>
      <c r="G43" s="51"/>
      <c r="H43" s="51"/>
      <c r="I43" s="171" t="str">
        <f t="shared" si="2"/>
        <v/>
      </c>
      <c r="J43" s="51"/>
      <c r="K43" s="51"/>
      <c r="L43" s="51"/>
      <c r="M43" s="51"/>
      <c r="N43" s="51"/>
      <c r="O43" s="171" t="str">
        <f t="shared" si="17"/>
        <v/>
      </c>
      <c r="P43" s="51"/>
      <c r="Q43" s="51"/>
      <c r="R43" s="51"/>
      <c r="S43" s="51"/>
      <c r="T43" s="51"/>
      <c r="U43" s="171" t="str">
        <f t="shared" si="3"/>
        <v/>
      </c>
      <c r="V43" s="335"/>
      <c r="W43" s="335"/>
      <c r="X43" s="171" t="str">
        <f t="shared" si="4"/>
        <v/>
      </c>
      <c r="Y43" s="336" t="str">
        <f t="shared" si="0"/>
        <v/>
      </c>
      <c r="Z43" s="329"/>
      <c r="AA43" s="337"/>
      <c r="AB43" s="337"/>
      <c r="AC43" s="337"/>
      <c r="AD43" s="337"/>
      <c r="AE43" s="337"/>
      <c r="AF43" s="337"/>
      <c r="AG43" s="338"/>
      <c r="AH43" s="243"/>
    </row>
    <row r="44" spans="1:34" ht="15.75" x14ac:dyDescent="0.25">
      <c r="A44" s="311">
        <v>8</v>
      </c>
      <c r="B44" s="161"/>
      <c r="C44" s="333"/>
      <c r="D44" s="334"/>
      <c r="E44" s="51"/>
      <c r="F44" s="164" t="str">
        <f t="shared" si="1"/>
        <v/>
      </c>
      <c r="G44" s="51"/>
      <c r="H44" s="51"/>
      <c r="I44" s="171" t="str">
        <f t="shared" si="2"/>
        <v/>
      </c>
      <c r="J44" s="51"/>
      <c r="K44" s="51"/>
      <c r="L44" s="51"/>
      <c r="M44" s="51"/>
      <c r="N44" s="51"/>
      <c r="O44" s="171" t="str">
        <f t="shared" si="17"/>
        <v/>
      </c>
      <c r="P44" s="51"/>
      <c r="Q44" s="51"/>
      <c r="R44" s="51"/>
      <c r="S44" s="51"/>
      <c r="T44" s="51"/>
      <c r="U44" s="171" t="str">
        <f t="shared" si="3"/>
        <v/>
      </c>
      <c r="V44" s="335"/>
      <c r="W44" s="335"/>
      <c r="X44" s="171" t="str">
        <f t="shared" si="4"/>
        <v/>
      </c>
      <c r="Y44" s="336" t="str">
        <f t="shared" si="0"/>
        <v/>
      </c>
      <c r="Z44" s="329"/>
      <c r="AA44" s="337"/>
      <c r="AB44" s="337"/>
      <c r="AC44" s="337"/>
      <c r="AD44" s="337"/>
      <c r="AE44" s="337"/>
      <c r="AF44" s="337"/>
      <c r="AG44" s="338"/>
      <c r="AH44" s="243"/>
    </row>
    <row r="45" spans="1:34" ht="15.75" x14ac:dyDescent="0.25">
      <c r="A45" s="311">
        <v>8</v>
      </c>
      <c r="B45" s="161"/>
      <c r="C45" s="333"/>
      <c r="D45" s="334"/>
      <c r="E45" s="51"/>
      <c r="F45" s="164" t="str">
        <f t="shared" si="1"/>
        <v/>
      </c>
      <c r="G45" s="51"/>
      <c r="H45" s="51"/>
      <c r="I45" s="171" t="str">
        <f t="shared" si="2"/>
        <v/>
      </c>
      <c r="J45" s="51"/>
      <c r="K45" s="51"/>
      <c r="L45" s="51"/>
      <c r="M45" s="51"/>
      <c r="N45" s="51"/>
      <c r="O45" s="171" t="str">
        <f t="shared" si="17"/>
        <v/>
      </c>
      <c r="P45" s="51"/>
      <c r="Q45" s="51"/>
      <c r="R45" s="51"/>
      <c r="S45" s="51"/>
      <c r="T45" s="51"/>
      <c r="U45" s="171" t="str">
        <f t="shared" si="3"/>
        <v/>
      </c>
      <c r="V45" s="335"/>
      <c r="W45" s="335"/>
      <c r="X45" s="171" t="str">
        <f t="shared" si="4"/>
        <v/>
      </c>
      <c r="Y45" s="336" t="str">
        <f t="shared" si="0"/>
        <v/>
      </c>
      <c r="Z45" s="329"/>
      <c r="AA45" s="337"/>
      <c r="AB45" s="337"/>
      <c r="AC45" s="337"/>
      <c r="AD45" s="337"/>
      <c r="AE45" s="337"/>
      <c r="AF45" s="337"/>
      <c r="AG45" s="338"/>
      <c r="AH45" s="243"/>
    </row>
    <row r="46" spans="1:34" ht="15.75" x14ac:dyDescent="0.25">
      <c r="A46" s="311">
        <v>8</v>
      </c>
      <c r="B46" s="161"/>
      <c r="C46" s="333"/>
      <c r="D46" s="334"/>
      <c r="E46" s="51"/>
      <c r="F46" s="164" t="str">
        <f t="shared" si="1"/>
        <v/>
      </c>
      <c r="G46" s="51"/>
      <c r="H46" s="51"/>
      <c r="I46" s="171" t="str">
        <f t="shared" si="2"/>
        <v/>
      </c>
      <c r="J46" s="51"/>
      <c r="K46" s="51"/>
      <c r="L46" s="51"/>
      <c r="M46" s="51"/>
      <c r="N46" s="51"/>
      <c r="O46" s="171" t="str">
        <f t="shared" si="17"/>
        <v/>
      </c>
      <c r="P46" s="51"/>
      <c r="Q46" s="51"/>
      <c r="R46" s="51"/>
      <c r="S46" s="51"/>
      <c r="T46" s="51"/>
      <c r="U46" s="171" t="str">
        <f t="shared" si="3"/>
        <v/>
      </c>
      <c r="V46" s="335"/>
      <c r="W46" s="335"/>
      <c r="X46" s="171" t="str">
        <f t="shared" si="4"/>
        <v/>
      </c>
      <c r="Y46" s="336" t="str">
        <f t="shared" si="0"/>
        <v/>
      </c>
      <c r="Z46" s="329"/>
      <c r="AA46" s="337"/>
      <c r="AB46" s="337"/>
      <c r="AC46" s="337"/>
      <c r="AD46" s="337"/>
      <c r="AE46" s="337"/>
      <c r="AF46" s="337"/>
      <c r="AG46" s="338"/>
      <c r="AH46" s="243"/>
    </row>
    <row r="47" spans="1:34" ht="15.75" x14ac:dyDescent="0.25">
      <c r="A47" s="311">
        <v>8</v>
      </c>
      <c r="B47" s="161"/>
      <c r="C47" s="333"/>
      <c r="D47" s="334"/>
      <c r="E47" s="51"/>
      <c r="F47" s="164" t="str">
        <f t="shared" si="1"/>
        <v/>
      </c>
      <c r="G47" s="51"/>
      <c r="H47" s="51"/>
      <c r="I47" s="171" t="str">
        <f t="shared" si="2"/>
        <v/>
      </c>
      <c r="J47" s="51"/>
      <c r="K47" s="51"/>
      <c r="L47" s="51"/>
      <c r="M47" s="51"/>
      <c r="N47" s="51"/>
      <c r="O47" s="171" t="str">
        <f t="shared" si="17"/>
        <v/>
      </c>
      <c r="P47" s="51"/>
      <c r="Q47" s="51"/>
      <c r="R47" s="51"/>
      <c r="S47" s="51"/>
      <c r="T47" s="51"/>
      <c r="U47" s="171" t="str">
        <f t="shared" si="3"/>
        <v/>
      </c>
      <c r="V47" s="335"/>
      <c r="W47" s="335"/>
      <c r="X47" s="171" t="str">
        <f t="shared" si="4"/>
        <v/>
      </c>
      <c r="Y47" s="336" t="str">
        <f t="shared" si="0"/>
        <v/>
      </c>
      <c r="Z47" s="329"/>
      <c r="AA47" s="337"/>
      <c r="AB47" s="337"/>
      <c r="AC47" s="337"/>
      <c r="AD47" s="337"/>
      <c r="AE47" s="337"/>
      <c r="AF47" s="337"/>
      <c r="AG47" s="338"/>
      <c r="AH47" s="243"/>
    </row>
    <row r="48" spans="1:34" ht="15.75" x14ac:dyDescent="0.25">
      <c r="A48" s="311">
        <v>8</v>
      </c>
      <c r="B48" s="161"/>
      <c r="C48" s="333"/>
      <c r="D48" s="334"/>
      <c r="E48" s="51"/>
      <c r="F48" s="164" t="str">
        <f t="shared" si="1"/>
        <v/>
      </c>
      <c r="G48" s="51"/>
      <c r="H48" s="51"/>
      <c r="I48" s="171" t="str">
        <f t="shared" si="2"/>
        <v/>
      </c>
      <c r="J48" s="51"/>
      <c r="K48" s="51"/>
      <c r="L48" s="51"/>
      <c r="M48" s="51"/>
      <c r="N48" s="51"/>
      <c r="O48" s="171" t="str">
        <f t="shared" si="17"/>
        <v/>
      </c>
      <c r="P48" s="51"/>
      <c r="Q48" s="51"/>
      <c r="R48" s="51"/>
      <c r="S48" s="51"/>
      <c r="T48" s="51"/>
      <c r="U48" s="171" t="str">
        <f t="shared" si="3"/>
        <v/>
      </c>
      <c r="V48" s="335"/>
      <c r="W48" s="335"/>
      <c r="X48" s="171" t="str">
        <f t="shared" si="4"/>
        <v/>
      </c>
      <c r="Y48" s="336" t="str">
        <f t="shared" si="0"/>
        <v/>
      </c>
      <c r="Z48" s="329"/>
      <c r="AA48" s="337"/>
      <c r="AB48" s="337"/>
      <c r="AC48" s="337"/>
      <c r="AD48" s="337"/>
      <c r="AE48" s="337"/>
      <c r="AF48" s="337"/>
      <c r="AG48" s="338"/>
      <c r="AH48" s="243"/>
    </row>
    <row r="49" spans="1:175" ht="6.6" customHeight="1" x14ac:dyDescent="0.25">
      <c r="A49" s="339"/>
      <c r="B49" s="149"/>
      <c r="C49" s="326"/>
      <c r="D49" s="326"/>
      <c r="E49" s="150"/>
      <c r="F49" s="340"/>
      <c r="G49" s="162"/>
      <c r="H49" s="162"/>
      <c r="I49" s="171" t="str">
        <f t="shared" si="2"/>
        <v/>
      </c>
      <c r="J49" s="162"/>
      <c r="K49" s="162"/>
      <c r="L49" s="163"/>
      <c r="M49" s="162"/>
      <c r="N49" s="162"/>
      <c r="O49" s="171" t="str">
        <f t="shared" ref="O49:O53" si="18">IF(AND($F49=1,J49="S"),IF(K49=3,1,IF(K49=2,0.6,IF(K49=1,0.3,0))),"")</f>
        <v/>
      </c>
      <c r="P49" s="150"/>
      <c r="Q49" s="150"/>
      <c r="R49" s="150"/>
      <c r="S49" s="150"/>
      <c r="T49" s="150"/>
      <c r="U49" s="171" t="str">
        <f t="shared" si="3"/>
        <v/>
      </c>
      <c r="V49" s="150"/>
      <c r="W49" s="150"/>
      <c r="X49" s="171" t="str">
        <f t="shared" si="4"/>
        <v/>
      </c>
      <c r="Y49" s="330"/>
      <c r="Z49" s="329"/>
      <c r="AA49" s="330"/>
      <c r="AB49" s="330"/>
      <c r="AC49" s="330"/>
      <c r="AD49" s="330"/>
      <c r="AE49" s="330"/>
      <c r="AF49" s="330"/>
      <c r="AG49" s="332"/>
      <c r="AH49" s="243"/>
    </row>
    <row r="50" spans="1:175" ht="15.95" customHeight="1" x14ac:dyDescent="0.25">
      <c r="A50" s="339"/>
      <c r="B50" s="188">
        <f>'Quadro Geral'!D36</f>
        <v>12</v>
      </c>
      <c r="C50" s="186" t="s">
        <v>839</v>
      </c>
      <c r="D50" s="187"/>
      <c r="E50" s="180"/>
      <c r="F50" s="341"/>
      <c r="G50" s="180"/>
      <c r="H50" s="181"/>
      <c r="I50" s="342"/>
      <c r="J50" s="180"/>
      <c r="K50" s="180"/>
      <c r="L50" s="201" t="s">
        <v>840</v>
      </c>
      <c r="M50" s="165">
        <f>COUNTIFS($D9:$D49,"*",$F9:$F49,"1",M9:M49,"S")</f>
        <v>0</v>
      </c>
      <c r="N50" s="165">
        <f>COUNTIFS($D9:$D49,"*",$F9:$F49,"1",N9:N49,"S")</f>
        <v>0</v>
      </c>
      <c r="O50" s="182" t="str">
        <f t="shared" si="18"/>
        <v/>
      </c>
      <c r="P50" s="180"/>
      <c r="Q50" s="180"/>
      <c r="R50" s="180"/>
      <c r="S50" s="180"/>
      <c r="T50" s="180"/>
      <c r="U50" s="343"/>
      <c r="V50" s="748" t="s">
        <v>841</v>
      </c>
      <c r="W50" s="748"/>
      <c r="X50" s="344"/>
      <c r="Y50" s="336">
        <f>IF(COUNTIFS(D9:D49,"*",$F9:$F49,"1")&gt;0,SUMIFS($Y9:$Y49,D9:D49,"*",$F9:$F49,"1")/COUNTIFS(D9:D49,"*",$F9:$F49,"1"),0)</f>
        <v>0</v>
      </c>
      <c r="Z50" s="344"/>
      <c r="AA50" s="243"/>
      <c r="AB50" s="243"/>
      <c r="AC50" s="243"/>
      <c r="AD50" s="243"/>
      <c r="AE50" s="243"/>
      <c r="AF50" s="243"/>
      <c r="AG50" s="243"/>
      <c r="AH50" s="243"/>
    </row>
    <row r="51" spans="1:175" ht="15.95" customHeight="1" x14ac:dyDescent="0.25">
      <c r="A51" s="339"/>
      <c r="B51" s="189">
        <f>IF(OR(Capa!$B$6="B",Capa!$B$6=1),(Y50*70+Y51*30)/100,
        IF(OR(Capa!$B$6=2,Capa!$B$6=3),((Y50*60+Y51*30)/100)+
                                                                IF(AND(Capa!$B$6=2,M50&gt;0),0.1,0)+
                                                                IF(AND(Capa!$B$6=3,M50&gt;0),0.05,0)+
                                                                IF(AND(Capa!$B$6=3,N50&gt;0),0.05,0),0))</f>
        <v>0</v>
      </c>
      <c r="C51" s="749" t="s">
        <v>842</v>
      </c>
      <c r="D51" s="750"/>
      <c r="E51" s="176"/>
      <c r="F51" s="341"/>
      <c r="G51" s="176"/>
      <c r="H51" s="177"/>
      <c r="I51" s="345"/>
      <c r="J51" s="176"/>
      <c r="K51" s="176"/>
      <c r="L51" s="184"/>
      <c r="M51" s="185"/>
      <c r="N51" s="185"/>
      <c r="O51" s="179"/>
      <c r="P51" s="176"/>
      <c r="Q51" s="176"/>
      <c r="R51" s="176"/>
      <c r="S51" s="176"/>
      <c r="T51" s="176"/>
      <c r="U51" s="343"/>
      <c r="V51" s="748" t="s">
        <v>843</v>
      </c>
      <c r="W51" s="748"/>
      <c r="X51" s="344"/>
      <c r="Y51" s="336">
        <f>IF(COUNTIFS(D9:D49,"*",$F9:$F49,"&lt;&gt;1")&gt;0,SUMIFS($Y9:$Y49,D9:D49,"*",$F9:$F49,"&lt;&gt;1")/COUNTIFS(D9:D49,"*",$F9:$F49,"&lt;&gt;1"),0)</f>
        <v>0</v>
      </c>
      <c r="Z51" s="344"/>
      <c r="AA51" s="243"/>
      <c r="AB51" s="243"/>
      <c r="AC51" s="243"/>
      <c r="AD51" s="243"/>
      <c r="AE51" s="243"/>
      <c r="AF51" s="243"/>
      <c r="AG51" s="243"/>
      <c r="AH51" s="243"/>
    </row>
    <row r="52" spans="1:175" ht="15.6" customHeight="1" x14ac:dyDescent="0.25">
      <c r="A52" s="339"/>
      <c r="B52" s="190">
        <f>'Quadro Geral'!F36</f>
        <v>0</v>
      </c>
      <c r="C52" s="186" t="s">
        <v>844</v>
      </c>
      <c r="D52" s="346"/>
      <c r="E52" s="176"/>
      <c r="F52" s="341"/>
      <c r="G52" s="176"/>
      <c r="H52" s="177"/>
      <c r="I52" s="345"/>
      <c r="J52" s="176"/>
      <c r="K52" s="177"/>
      <c r="L52" s="178"/>
      <c r="M52" s="176"/>
      <c r="N52" s="176"/>
      <c r="O52" s="179" t="str">
        <f t="shared" si="18"/>
        <v/>
      </c>
      <c r="P52" s="176"/>
      <c r="Q52" s="177"/>
      <c r="R52" s="176"/>
      <c r="S52" s="176"/>
      <c r="T52" s="176"/>
      <c r="U52" s="343"/>
      <c r="V52" s="243"/>
      <c r="W52" s="243"/>
      <c r="X52" s="243"/>
      <c r="Y52" s="243"/>
      <c r="Z52" s="344"/>
      <c r="AA52" s="243"/>
      <c r="AB52" s="243"/>
      <c r="AC52" s="243"/>
      <c r="AD52" s="243"/>
      <c r="AE52" s="243"/>
      <c r="AF52" s="243"/>
      <c r="AG52" s="243"/>
      <c r="AH52" s="243"/>
    </row>
    <row r="53" spans="1:175" ht="15.6" customHeight="1" x14ac:dyDescent="0.25">
      <c r="A53" s="339"/>
      <c r="E53" s="176"/>
      <c r="F53" s="341"/>
      <c r="G53" s="176"/>
      <c r="H53" s="177"/>
      <c r="I53" s="345"/>
      <c r="J53" s="176"/>
      <c r="K53" s="177"/>
      <c r="L53" s="178"/>
      <c r="M53" s="176"/>
      <c r="N53" s="176"/>
      <c r="O53" s="179" t="str">
        <f t="shared" si="18"/>
        <v/>
      </c>
      <c r="P53" s="176"/>
      <c r="Q53" s="177"/>
      <c r="R53" s="176"/>
      <c r="S53" s="176"/>
      <c r="T53" s="176"/>
      <c r="U53" s="343"/>
      <c r="V53" s="176"/>
      <c r="W53" s="176"/>
      <c r="X53" s="176"/>
      <c r="Y53" s="176"/>
      <c r="Z53" s="344"/>
      <c r="AA53" s="243"/>
      <c r="AB53" s="243"/>
      <c r="AC53" s="243"/>
      <c r="AD53" s="243"/>
      <c r="AE53" s="243"/>
      <c r="AF53" s="243"/>
      <c r="AG53" s="243"/>
      <c r="AH53" s="243"/>
    </row>
    <row r="54" spans="1:175" ht="6.6" customHeight="1" x14ac:dyDescent="0.25">
      <c r="A54" s="339"/>
      <c r="B54" s="183"/>
      <c r="C54" s="347"/>
      <c r="D54" s="348"/>
      <c r="E54" s="154"/>
      <c r="F54" s="349"/>
      <c r="G54" s="154"/>
      <c r="H54" s="154"/>
      <c r="I54" s="349"/>
      <c r="J54" s="154"/>
      <c r="K54" s="154"/>
      <c r="L54" s="154"/>
      <c r="M54" s="154"/>
      <c r="N54" s="154"/>
      <c r="O54" s="349"/>
      <c r="P54" s="154"/>
      <c r="Q54" s="154"/>
      <c r="R54" s="154"/>
      <c r="S54" s="154"/>
      <c r="T54" s="154"/>
      <c r="U54" s="341"/>
      <c r="V54" s="341"/>
      <c r="W54" s="341"/>
      <c r="X54" s="341"/>
      <c r="Y54" s="341"/>
      <c r="Z54" s="341"/>
      <c r="AA54" s="350"/>
      <c r="AB54" s="350"/>
      <c r="AC54" s="350"/>
      <c r="AD54" s="350"/>
      <c r="AE54" s="350"/>
      <c r="AF54" s="350"/>
      <c r="AG54" s="350"/>
      <c r="AH54" s="243"/>
    </row>
    <row r="55" spans="1:175" ht="22.5" customHeight="1" x14ac:dyDescent="0.25">
      <c r="A55" s="244"/>
      <c r="B55" s="155" t="s">
        <v>845</v>
      </c>
      <c r="C55" s="156"/>
      <c r="D55" s="156"/>
      <c r="E55" s="156"/>
      <c r="F55" s="156"/>
      <c r="G55" s="156"/>
      <c r="H55" s="156"/>
      <c r="I55" s="156"/>
      <c r="J55" s="156"/>
      <c r="K55" s="156"/>
      <c r="L55" s="156"/>
      <c r="M55" s="156"/>
      <c r="N55" s="156"/>
      <c r="O55" s="156"/>
      <c r="P55" s="156"/>
      <c r="Q55" s="156"/>
      <c r="R55" s="156"/>
      <c r="S55" s="156"/>
      <c r="T55" s="157"/>
      <c r="U55" s="244"/>
      <c r="V55" s="244"/>
      <c r="W55" s="244"/>
      <c r="X55" s="244"/>
      <c r="Y55" s="244"/>
      <c r="Z55" s="244"/>
      <c r="AA55" s="243"/>
      <c r="AB55" s="243"/>
      <c r="AC55" s="243"/>
      <c r="AD55" s="243"/>
      <c r="AE55" s="243"/>
      <c r="AF55" s="243"/>
      <c r="AG55" s="243"/>
      <c r="AH55" s="243"/>
      <c r="CG55" s="215"/>
      <c r="CH55" s="215"/>
      <c r="CI55" s="215"/>
      <c r="CJ55" s="215"/>
      <c r="CK55" s="215"/>
      <c r="CL55" s="215"/>
      <c r="CM55" s="215"/>
      <c r="CN55" s="215"/>
      <c r="CO55" s="215"/>
      <c r="CP55" s="215"/>
      <c r="CQ55" s="215"/>
      <c r="CR55" s="215"/>
      <c r="CS55" s="215"/>
      <c r="CT55" s="215"/>
      <c r="CU55" s="215"/>
      <c r="CV55" s="215"/>
      <c r="CW55" s="215"/>
      <c r="CX55" s="215"/>
      <c r="CY55" s="215"/>
      <c r="CZ55" s="215"/>
      <c r="DA55" s="215"/>
      <c r="DB55" s="215"/>
      <c r="DC55" s="215"/>
      <c r="DD55" s="215"/>
      <c r="DE55" s="215"/>
      <c r="DF55" s="215"/>
      <c r="DG55" s="215"/>
      <c r="DH55" s="215"/>
      <c r="DI55" s="215"/>
      <c r="DJ55" s="215"/>
      <c r="DK55" s="215"/>
      <c r="DL55" s="215"/>
      <c r="DM55" s="215"/>
      <c r="DN55" s="215"/>
      <c r="DO55" s="215"/>
      <c r="DP55" s="215"/>
      <c r="DQ55" s="215"/>
      <c r="DR55" s="215"/>
      <c r="DS55" s="215"/>
      <c r="DT55" s="215"/>
      <c r="DU55" s="215"/>
      <c r="DV55" s="215"/>
      <c r="DW55" s="215"/>
      <c r="DX55" s="215"/>
      <c r="DY55" s="215"/>
      <c r="DZ55" s="215"/>
      <c r="EA55" s="215"/>
      <c r="EB55" s="215"/>
      <c r="EC55" s="215"/>
      <c r="ED55" s="215"/>
      <c r="EE55" s="215"/>
      <c r="EF55" s="215"/>
      <c r="EG55" s="215"/>
      <c r="EH55" s="215"/>
      <c r="EI55" s="215"/>
      <c r="EJ55" s="215"/>
      <c r="EK55" s="215"/>
      <c r="EL55" s="215"/>
      <c r="EM55" s="215"/>
      <c r="EN55" s="215"/>
      <c r="EO55" s="215"/>
      <c r="EP55" s="215"/>
      <c r="EQ55" s="215"/>
      <c r="ER55" s="215"/>
      <c r="ES55" s="215"/>
      <c r="ET55" s="215"/>
      <c r="EU55" s="215"/>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row>
    <row r="56" spans="1:175" s="214" customFormat="1" x14ac:dyDescent="0.25">
      <c r="A56" s="243"/>
      <c r="B56" s="351"/>
      <c r="C56" s="742"/>
      <c r="D56" s="743"/>
      <c r="E56" s="743"/>
      <c r="F56" s="743"/>
      <c r="G56" s="743"/>
      <c r="H56" s="743"/>
      <c r="I56" s="743"/>
      <c r="J56" s="743"/>
      <c r="K56" s="743"/>
      <c r="L56" s="743"/>
      <c r="M56" s="743"/>
      <c r="N56" s="743"/>
      <c r="O56" s="743"/>
      <c r="P56" s="743"/>
      <c r="Q56" s="743"/>
      <c r="R56" s="743"/>
      <c r="S56" s="743"/>
      <c r="T56" s="744"/>
      <c r="U56" s="243"/>
      <c r="V56" s="243"/>
      <c r="W56" s="243"/>
      <c r="X56" s="243"/>
      <c r="Y56" s="243"/>
      <c r="Z56" s="243"/>
      <c r="AA56" s="243"/>
      <c r="AB56" s="243"/>
      <c r="AC56" s="243"/>
      <c r="AD56" s="243"/>
      <c r="AE56" s="243"/>
      <c r="AF56" s="243"/>
      <c r="AG56" s="243"/>
      <c r="AH56" s="243"/>
    </row>
    <row r="57" spans="1:175" s="214" customFormat="1" x14ac:dyDescent="0.25">
      <c r="A57" s="243"/>
      <c r="B57" s="351"/>
      <c r="C57" s="742"/>
      <c r="D57" s="743"/>
      <c r="E57" s="743"/>
      <c r="F57" s="743"/>
      <c r="G57" s="743"/>
      <c r="H57" s="743"/>
      <c r="I57" s="743"/>
      <c r="J57" s="743"/>
      <c r="K57" s="743"/>
      <c r="L57" s="743"/>
      <c r="M57" s="743"/>
      <c r="N57" s="743"/>
      <c r="O57" s="743"/>
      <c r="P57" s="743"/>
      <c r="Q57" s="743"/>
      <c r="R57" s="743"/>
      <c r="S57" s="743"/>
      <c r="T57" s="744"/>
      <c r="U57" s="243"/>
      <c r="V57" s="243"/>
      <c r="W57" s="243"/>
      <c r="X57" s="243"/>
      <c r="Y57" s="243"/>
      <c r="Z57" s="243"/>
      <c r="AA57" s="243"/>
      <c r="AB57" s="243"/>
      <c r="AC57" s="243"/>
      <c r="AD57" s="243"/>
      <c r="AE57" s="243"/>
      <c r="AF57" s="243"/>
      <c r="AG57" s="243"/>
      <c r="AH57" s="243"/>
    </row>
    <row r="58" spans="1:175" s="214" customFormat="1" x14ac:dyDescent="0.25">
      <c r="A58" s="243"/>
      <c r="B58" s="351"/>
      <c r="C58" s="742"/>
      <c r="D58" s="743"/>
      <c r="E58" s="743"/>
      <c r="F58" s="743"/>
      <c r="G58" s="743"/>
      <c r="H58" s="743"/>
      <c r="I58" s="743"/>
      <c r="J58" s="743"/>
      <c r="K58" s="743"/>
      <c r="L58" s="743"/>
      <c r="M58" s="743"/>
      <c r="N58" s="743"/>
      <c r="O58" s="743"/>
      <c r="P58" s="743"/>
      <c r="Q58" s="743"/>
      <c r="R58" s="743"/>
      <c r="S58" s="743"/>
      <c r="T58" s="744"/>
      <c r="U58" s="243"/>
      <c r="V58" s="243"/>
      <c r="W58" s="243"/>
      <c r="X58" s="243"/>
      <c r="Y58" s="243"/>
      <c r="Z58" s="243"/>
      <c r="AA58" s="243"/>
      <c r="AB58" s="243"/>
      <c r="AC58" s="243"/>
      <c r="AD58" s="243"/>
      <c r="AE58" s="243"/>
      <c r="AF58" s="243"/>
      <c r="AG58" s="243"/>
      <c r="AH58" s="243"/>
    </row>
    <row r="59" spans="1:175" s="214" customFormat="1" x14ac:dyDescent="0.25">
      <c r="A59" s="243"/>
      <c r="B59" s="351"/>
      <c r="C59" s="742"/>
      <c r="D59" s="743"/>
      <c r="E59" s="743"/>
      <c r="F59" s="743"/>
      <c r="G59" s="743"/>
      <c r="H59" s="743"/>
      <c r="I59" s="743"/>
      <c r="J59" s="743"/>
      <c r="K59" s="743"/>
      <c r="L59" s="743"/>
      <c r="M59" s="743"/>
      <c r="N59" s="743"/>
      <c r="O59" s="743"/>
      <c r="P59" s="743"/>
      <c r="Q59" s="743"/>
      <c r="R59" s="743"/>
      <c r="S59" s="743"/>
      <c r="T59" s="744"/>
      <c r="U59" s="243"/>
      <c r="V59" s="243"/>
      <c r="W59" s="243"/>
      <c r="X59" s="243"/>
      <c r="Y59" s="243"/>
      <c r="Z59" s="243"/>
      <c r="AA59" s="243"/>
      <c r="AB59" s="243"/>
      <c r="AC59" s="243"/>
      <c r="AD59" s="243"/>
      <c r="AE59" s="243"/>
      <c r="AF59" s="243"/>
      <c r="AG59" s="243"/>
      <c r="AH59" s="243"/>
    </row>
    <row r="60" spans="1:175" s="214" customFormat="1" x14ac:dyDescent="0.25">
      <c r="B60" s="158"/>
      <c r="C60" s="158"/>
    </row>
    <row r="61" spans="1:175" s="214" customFormat="1" x14ac:dyDescent="0.25">
      <c r="B61" s="158"/>
      <c r="C61" s="158"/>
    </row>
    <row r="62" spans="1:175" s="214" customFormat="1" x14ac:dyDescent="0.25">
      <c r="B62" s="158"/>
      <c r="C62" s="158"/>
    </row>
    <row r="63" spans="1:175" s="214" customFormat="1" x14ac:dyDescent="0.25">
      <c r="B63" s="158"/>
      <c r="C63" s="158"/>
    </row>
    <row r="64" spans="1:175" s="214" customFormat="1" x14ac:dyDescent="0.25">
      <c r="B64" s="158"/>
      <c r="C64" s="158"/>
    </row>
    <row r="65" spans="2:3" s="214" customFormat="1" x14ac:dyDescent="0.25">
      <c r="B65" s="158"/>
      <c r="C65" s="158"/>
    </row>
    <row r="66" spans="2:3" s="214" customFormat="1" x14ac:dyDescent="0.25">
      <c r="B66" s="158"/>
      <c r="C66" s="158"/>
    </row>
    <row r="67" spans="2:3" s="214" customFormat="1" x14ac:dyDescent="0.25">
      <c r="B67" s="158"/>
      <c r="C67" s="158"/>
    </row>
    <row r="68" spans="2:3" s="214" customFormat="1" x14ac:dyDescent="0.25">
      <c r="B68" s="158"/>
      <c r="C68" s="158"/>
    </row>
    <row r="69" spans="2:3" s="214" customFormat="1" x14ac:dyDescent="0.25">
      <c r="B69" s="158"/>
      <c r="C69" s="158"/>
    </row>
    <row r="70" spans="2:3" s="214" customFormat="1" x14ac:dyDescent="0.25">
      <c r="B70" s="158"/>
      <c r="C70" s="158"/>
    </row>
    <row r="71" spans="2:3" s="214" customFormat="1" x14ac:dyDescent="0.25">
      <c r="B71" s="158"/>
      <c r="C71" s="158"/>
    </row>
    <row r="72" spans="2:3" s="214" customFormat="1" x14ac:dyDescent="0.25">
      <c r="B72" s="158"/>
      <c r="C72" s="158"/>
    </row>
    <row r="73" spans="2:3" s="214" customFormat="1" x14ac:dyDescent="0.25">
      <c r="B73" s="158"/>
      <c r="C73" s="158"/>
    </row>
    <row r="74" spans="2:3" s="214" customFormat="1" x14ac:dyDescent="0.25">
      <c r="B74" s="158"/>
      <c r="C74" s="158"/>
    </row>
    <row r="75" spans="2:3" s="214" customFormat="1" x14ac:dyDescent="0.25">
      <c r="B75" s="158"/>
      <c r="C75" s="158"/>
    </row>
    <row r="76" spans="2:3" s="214" customFormat="1" x14ac:dyDescent="0.25">
      <c r="B76" s="158"/>
      <c r="C76" s="158"/>
    </row>
    <row r="77" spans="2:3" s="214" customFormat="1" x14ac:dyDescent="0.25">
      <c r="B77" s="158"/>
      <c r="C77" s="158"/>
    </row>
    <row r="78" spans="2:3" s="214" customFormat="1" x14ac:dyDescent="0.25">
      <c r="B78" s="158"/>
      <c r="C78" s="158"/>
    </row>
    <row r="79" spans="2:3" s="214" customFormat="1" x14ac:dyDescent="0.25">
      <c r="B79" s="158"/>
      <c r="C79" s="158"/>
    </row>
    <row r="80" spans="2:3" s="214" customFormat="1" x14ac:dyDescent="0.25">
      <c r="B80" s="158"/>
      <c r="C80" s="158"/>
    </row>
    <row r="81" spans="2:3" s="214" customFormat="1" x14ac:dyDescent="0.25">
      <c r="B81" s="158"/>
      <c r="C81" s="158"/>
    </row>
    <row r="82" spans="2:3" s="214" customFormat="1" x14ac:dyDescent="0.25">
      <c r="B82" s="158"/>
      <c r="C82" s="158"/>
    </row>
    <row r="83" spans="2:3" s="214" customFormat="1" x14ac:dyDescent="0.25">
      <c r="B83" s="158"/>
      <c r="C83" s="158"/>
    </row>
    <row r="84" spans="2:3" s="214" customFormat="1" x14ac:dyDescent="0.25">
      <c r="B84" s="158"/>
      <c r="C84" s="158"/>
    </row>
    <row r="85" spans="2:3" s="214" customFormat="1" x14ac:dyDescent="0.25">
      <c r="B85" s="158"/>
      <c r="C85" s="158"/>
    </row>
    <row r="86" spans="2:3" s="214" customFormat="1" x14ac:dyDescent="0.25">
      <c r="B86" s="158"/>
      <c r="C86" s="158"/>
    </row>
    <row r="87" spans="2:3" s="214" customFormat="1" x14ac:dyDescent="0.25">
      <c r="B87" s="158"/>
      <c r="C87" s="158"/>
    </row>
    <row r="88" spans="2:3" s="214" customFormat="1" x14ac:dyDescent="0.25">
      <c r="B88" s="158"/>
      <c r="C88" s="158"/>
    </row>
    <row r="89" spans="2:3" s="214" customFormat="1" x14ac:dyDescent="0.25">
      <c r="B89" s="158"/>
      <c r="C89" s="158"/>
    </row>
    <row r="90" spans="2:3" s="214" customFormat="1" x14ac:dyDescent="0.25">
      <c r="B90" s="158"/>
      <c r="C90" s="158"/>
    </row>
    <row r="91" spans="2:3" s="214" customFormat="1" x14ac:dyDescent="0.25">
      <c r="B91" s="158"/>
      <c r="C91" s="158"/>
    </row>
    <row r="92" spans="2:3" s="214" customFormat="1" x14ac:dyDescent="0.25">
      <c r="B92" s="158"/>
      <c r="C92" s="158"/>
    </row>
    <row r="93" spans="2:3" s="214" customFormat="1" x14ac:dyDescent="0.25">
      <c r="B93" s="158"/>
      <c r="C93" s="158"/>
    </row>
    <row r="94" spans="2:3" s="214" customFormat="1" x14ac:dyDescent="0.25">
      <c r="B94" s="158"/>
      <c r="C94" s="158"/>
    </row>
    <row r="95" spans="2:3" s="214" customFormat="1" x14ac:dyDescent="0.25">
      <c r="B95" s="158"/>
      <c r="C95" s="158"/>
    </row>
    <row r="96" spans="2:3" s="214" customFormat="1" x14ac:dyDescent="0.25">
      <c r="B96" s="158"/>
      <c r="C96" s="158"/>
    </row>
    <row r="97" spans="2:3" s="214" customFormat="1" x14ac:dyDescent="0.25">
      <c r="B97" s="158"/>
      <c r="C97" s="158"/>
    </row>
    <row r="98" spans="2:3" s="214" customFormat="1" x14ac:dyDescent="0.25">
      <c r="B98" s="158"/>
      <c r="C98" s="158"/>
    </row>
    <row r="99" spans="2:3" s="214" customFormat="1" x14ac:dyDescent="0.25">
      <c r="B99" s="158"/>
      <c r="C99" s="158"/>
    </row>
    <row r="100" spans="2:3" s="214" customFormat="1" x14ac:dyDescent="0.25">
      <c r="B100" s="158"/>
      <c r="C100" s="158"/>
    </row>
    <row r="101" spans="2:3" s="214" customFormat="1" x14ac:dyDescent="0.25">
      <c r="B101" s="158"/>
      <c r="C101" s="158"/>
    </row>
    <row r="102" spans="2:3" s="214" customFormat="1" x14ac:dyDescent="0.25">
      <c r="B102" s="158"/>
      <c r="C102" s="158"/>
    </row>
    <row r="103" spans="2:3" s="214" customFormat="1" x14ac:dyDescent="0.25">
      <c r="B103" s="158"/>
      <c r="C103" s="158"/>
    </row>
    <row r="104" spans="2:3" s="214" customFormat="1" x14ac:dyDescent="0.25">
      <c r="B104" s="158"/>
      <c r="C104" s="158"/>
    </row>
    <row r="105" spans="2:3" s="214" customFormat="1" x14ac:dyDescent="0.25">
      <c r="B105" s="158"/>
      <c r="C105" s="158"/>
    </row>
    <row r="106" spans="2:3" s="214" customFormat="1" x14ac:dyDescent="0.25">
      <c r="B106" s="158"/>
      <c r="C106" s="158"/>
    </row>
    <row r="107" spans="2:3" s="214" customFormat="1" x14ac:dyDescent="0.25">
      <c r="B107" s="158"/>
      <c r="C107" s="158"/>
    </row>
    <row r="108" spans="2:3" s="214" customFormat="1" x14ac:dyDescent="0.25">
      <c r="B108" s="158"/>
      <c r="C108" s="158"/>
    </row>
    <row r="109" spans="2:3" s="214" customFormat="1" x14ac:dyDescent="0.25">
      <c r="B109" s="158"/>
      <c r="C109" s="158"/>
    </row>
    <row r="110" spans="2:3" s="214" customFormat="1" x14ac:dyDescent="0.25">
      <c r="B110" s="158"/>
      <c r="C110" s="158"/>
    </row>
    <row r="111" spans="2:3" s="214" customFormat="1" x14ac:dyDescent="0.25">
      <c r="B111" s="158"/>
      <c r="C111" s="158"/>
    </row>
    <row r="112" spans="2:3" s="214" customFormat="1" x14ac:dyDescent="0.25">
      <c r="B112" s="158"/>
      <c r="C112" s="158"/>
    </row>
    <row r="113" spans="2:3" s="214" customFormat="1" x14ac:dyDescent="0.25">
      <c r="B113" s="158"/>
      <c r="C113" s="158"/>
    </row>
    <row r="114" spans="2:3" s="214" customFormat="1" x14ac:dyDescent="0.25">
      <c r="B114" s="158"/>
      <c r="C114" s="158"/>
    </row>
    <row r="115" spans="2:3" s="214" customFormat="1" x14ac:dyDescent="0.25">
      <c r="B115" s="158"/>
      <c r="C115" s="158"/>
    </row>
  </sheetData>
  <sheetProtection algorithmName="SHA-512" hashValue="LhbCvNJjbPS45O2dsnBtwxfpfMd0jXTDKK6arEtJZ4i99PlIRYFjU4E2dUlkVYoIJqTepwJyhBpFYozR+4wOCQ==" saltValue="6YF+VmNGm34deOyuWL2OKQ==" spinCount="100000" sheet="1" formatCells="0" formatColumns="0" formatRows="0"/>
  <mergeCells count="14">
    <mergeCell ref="G3:W3"/>
    <mergeCell ref="B4:D4"/>
    <mergeCell ref="G4:H4"/>
    <mergeCell ref="J4:N4"/>
    <mergeCell ref="P4:T4"/>
    <mergeCell ref="V4:W4"/>
    <mergeCell ref="C58:T58"/>
    <mergeCell ref="C59:T59"/>
    <mergeCell ref="AA4:AG4"/>
    <mergeCell ref="V50:W50"/>
    <mergeCell ref="C51:D51"/>
    <mergeCell ref="V51:W51"/>
    <mergeCell ref="C56:T56"/>
    <mergeCell ref="C57:T57"/>
  </mergeCells>
  <conditionalFormatting sqref="B4">
    <cfRule type="dataBar" priority="305">
      <dataBar>
        <cfvo type="num" val="0.1"/>
        <cfvo type="num" val="1"/>
        <color rgb="FF92D050"/>
      </dataBar>
      <extLst>
        <ext xmlns:x14="http://schemas.microsoft.com/office/spreadsheetml/2009/9/main" uri="{B025F937-C7B1-47D3-B67F-A62EFF666E3E}">
          <x14:id>{9293A47D-7764-4825-91B3-43BD17E07F80}</x14:id>
        </ext>
      </extLst>
    </cfRule>
  </conditionalFormatting>
  <conditionalFormatting sqref="H9:H48">
    <cfRule type="expression" dxfId="88" priority="1">
      <formula>AND($G9&lt;&gt;"S",NOT(ISBLANK($H9)))</formula>
    </cfRule>
  </conditionalFormatting>
  <conditionalFormatting sqref="J10:J30">
    <cfRule type="expression" dxfId="87" priority="56">
      <formula>$F10&lt;&gt;1</formula>
    </cfRule>
  </conditionalFormatting>
  <conditionalFormatting sqref="J34:J48">
    <cfRule type="expression" dxfId="86" priority="9">
      <formula>$F34&lt;&gt;1</formula>
    </cfRule>
  </conditionalFormatting>
  <conditionalFormatting sqref="J9:N9">
    <cfRule type="expression" dxfId="85" priority="299">
      <formula>$F9&lt;&gt;1</formula>
    </cfRule>
  </conditionalFormatting>
  <conditionalFormatting sqref="J31:N33 P31:T39">
    <cfRule type="expression" dxfId="84" priority="15">
      <formula>$F31&lt;&gt;1</formula>
    </cfRule>
  </conditionalFormatting>
  <conditionalFormatting sqref="K10:N48">
    <cfRule type="expression" dxfId="83" priority="63">
      <formula>$F10&lt;&gt;1</formula>
    </cfRule>
  </conditionalFormatting>
  <conditionalFormatting sqref="P9:P10">
    <cfRule type="expression" dxfId="82" priority="176">
      <formula>$F9&lt;&gt;1</formula>
    </cfRule>
  </conditionalFormatting>
  <conditionalFormatting sqref="P14:P19">
    <cfRule type="expression" dxfId="81" priority="13">
      <formula>$F14&lt;&gt;1</formula>
    </cfRule>
  </conditionalFormatting>
  <conditionalFormatting sqref="P23:P30">
    <cfRule type="expression" dxfId="80" priority="96">
      <formula>$F23&lt;&gt;1</formula>
    </cfRule>
  </conditionalFormatting>
  <conditionalFormatting sqref="P40">
    <cfRule type="expression" dxfId="79" priority="5">
      <formula>$F40&lt;&gt;1</formula>
    </cfRule>
  </conditionalFormatting>
  <conditionalFormatting sqref="P44:P48">
    <cfRule type="expression" dxfId="78" priority="10">
      <formula>$F44&lt;&gt;1</formula>
    </cfRule>
  </conditionalFormatting>
  <conditionalFormatting sqref="P11:T13">
    <cfRule type="expression" dxfId="77" priority="55">
      <formula>$F11&lt;&gt;1</formula>
    </cfRule>
  </conditionalFormatting>
  <conditionalFormatting sqref="P20:T22">
    <cfRule type="expression" dxfId="76" priority="12">
      <formula>$F20&lt;&gt;1</formula>
    </cfRule>
  </conditionalFormatting>
  <conditionalFormatting sqref="P41:T43">
    <cfRule type="expression" dxfId="75" priority="4">
      <formula>$F41&lt;&gt;1</formula>
    </cfRule>
  </conditionalFormatting>
  <conditionalFormatting sqref="Q9:T30">
    <cfRule type="expression" dxfId="74" priority="102">
      <formula>$F9&lt;&gt;1</formula>
    </cfRule>
  </conditionalFormatting>
  <conditionalFormatting sqref="Q40:T48">
    <cfRule type="expression" dxfId="73" priority="11">
      <formula>$F40&lt;&gt;1</formula>
    </cfRule>
  </conditionalFormatting>
  <conditionalFormatting sqref="V9:V10">
    <cfRule type="expression" dxfId="72" priority="292">
      <formula>$F9&lt;&gt;1</formula>
    </cfRule>
  </conditionalFormatting>
  <conditionalFormatting sqref="V19">
    <cfRule type="expression" dxfId="71" priority="14">
      <formula>$F19&lt;&gt;1</formula>
    </cfRule>
  </conditionalFormatting>
  <conditionalFormatting sqref="V29">
    <cfRule type="expression" dxfId="70" priority="266">
      <formula>$F29&lt;&gt;1</formula>
    </cfRule>
  </conditionalFormatting>
  <conditionalFormatting sqref="V35:V39">
    <cfRule type="expression" dxfId="69" priority="191">
      <formula>$F35&lt;&gt;1</formula>
    </cfRule>
  </conditionalFormatting>
  <conditionalFormatting sqref="V40">
    <cfRule type="expression" dxfId="68" priority="6">
      <formula>$F40&lt;&gt;1</formula>
    </cfRule>
  </conditionalFormatting>
  <conditionalFormatting sqref="V9:W48">
    <cfRule type="expression" dxfId="67" priority="180" stopIfTrue="1">
      <formula>AND($F9&lt;&gt;1,NOT(ISBLANK($V9)))</formula>
    </cfRule>
  </conditionalFormatting>
  <conditionalFormatting sqref="V11:W18 V20:W33">
    <cfRule type="expression" dxfId="66" priority="19" stopIfTrue="1">
      <formula>AND($F11&lt;&gt;1,NOT(ISBLANK($V11)))</formula>
    </cfRule>
    <cfRule type="expression" dxfId="65" priority="20">
      <formula>$F11&lt;&gt;1</formula>
    </cfRule>
  </conditionalFormatting>
  <conditionalFormatting sqref="V34:W34">
    <cfRule type="expression" dxfId="64" priority="242">
      <formula>$F34&lt;&gt;1</formula>
    </cfRule>
  </conditionalFormatting>
  <conditionalFormatting sqref="V41:W48">
    <cfRule type="expression" dxfId="63" priority="7" stopIfTrue="1">
      <formula>AND($F41&lt;&gt;1,NOT(ISBLANK($V41)))</formula>
    </cfRule>
    <cfRule type="expression" dxfId="62" priority="8">
      <formula>$F41&lt;&gt;1</formula>
    </cfRule>
  </conditionalFormatting>
  <conditionalFormatting sqref="W9:W48">
    <cfRule type="expression" dxfId="61" priority="181">
      <formula>$F9&lt;&gt;1</formula>
    </cfRule>
  </conditionalFormatting>
  <dataValidations count="13">
    <dataValidation type="list" allowBlank="1" showInputMessage="1" showErrorMessage="1" error="Opção inválida! 0,1,2 ou 3" promptTitle="Há padrão suficiente" sqref="Q9:Q48" xr:uid="{00000000-0002-0000-0B00-000000000000}">
      <formula1>"0,1,2,3"</formula1>
    </dataValidation>
    <dataValidation type="list" allowBlank="1" showInputMessage="1" showErrorMessage="1" error="Opção inválida! 0,1,2 ou 3." sqref="V9:V48" xr:uid="{00000000-0002-0000-0B00-000001000000}">
      <formula1>"0,1,2,3"</formula1>
    </dataValidation>
    <dataValidation type="list" allowBlank="1" showInputMessage="1" showErrorMessage="1" error="Opção inválida" promptTitle="Há padrão suficiente" sqref="K9:K48 H9:H48" xr:uid="{00000000-0002-0000-0B00-000002000000}">
      <formula1>"0,1,2,3"</formula1>
    </dataValidation>
    <dataValidation type="list" allowBlank="1" showInputMessage="1" showErrorMessage="1" error="Opção inválida" promptTitle="Há padrão suficiente" sqref="P54 J54 E49:E54 G54 E8 P9:P48 J8:J49 G8:G49" xr:uid="{00000000-0002-0000-0B00-000003000000}">
      <formula1>"S,N,s,n"</formula1>
    </dataValidation>
    <dataValidation type="list" allowBlank="1" showInputMessage="1" showErrorMessage="1" error="Opção inválida" promptTitle="Há padrão suficiente" sqref="Q54 Q8 K8 H49 K49 Q49 H8 M54:N54 H54 K54 M8:N49" xr:uid="{00000000-0002-0000-0B00-000004000000}">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AE19 AE40" xr:uid="{00000000-0002-0000-0B00-000005000000}"/>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AD19 AD40" xr:uid="{00000000-0002-0000-0B00-000006000000}"/>
    <dataValidation type="list" allowBlank="1" showInputMessage="1" showErrorMessage="1" promptTitle="Bom quando" prompt="&quot;+&quot; Aumentar_x000a_&quot;=&quot; Manter _x000a_&quot;-&quot;  Diminuir" sqref="AA9:AA48" xr:uid="{00000000-0002-0000-0B00-000007000000}">
      <formula1>"+,=,-"</formula1>
    </dataValidation>
    <dataValidation type="list" allowBlank="1" showInputMessage="1" showErrorMessage="1" error="Opção inválida" sqref="T8 V8:W8 V49:W49 T49 S54:T54 S8:S49" xr:uid="{00000000-0002-0000-0B00-000008000000}">
      <formula1>"MT,EF,mt,ef"</formula1>
    </dataValidation>
    <dataValidation type="list" allowBlank="1" showInputMessage="1" showErrorMessage="1" error="Opção inválida" promptTitle="Há padrão suficiente" sqref="P8 P49" xr:uid="{00000000-0002-0000-0B00-000009000000}">
      <formula1>"S,N,s,n,NS,ns"</formula1>
    </dataValidation>
    <dataValidation allowBlank="1" showInputMessage="1" showErrorMessage="1" error="Opção inválida" sqref="T9:T48" xr:uid="{00000000-0002-0000-0B00-00000A000000}"/>
    <dataValidation type="list" allowBlank="1" showInputMessage="1" showErrorMessage="1" promptTitle="Informe PF ou OM" prompt="Descreva o PF ou a OM à Direita" sqref="B56:B59" xr:uid="{00000000-0002-0000-0B00-00000B000000}">
      <formula1>"PF,OM"</formula1>
    </dataValidation>
    <dataValidation type="list" allowBlank="1" showInputMessage="1" showErrorMessage="1" error="Opção inválida!" sqref="E9:E48" xr:uid="{00000000-0002-0000-0B00-00000C000000}">
      <formula1>"N,E,O,G,n,e,o,g,NO,EO,no,eo,ON,OE,on,oe"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9293A47D-7764-4825-91B3-43BD17E07F80}">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3"/>
  <dimension ref="A1:FS105"/>
  <sheetViews>
    <sheetView zoomScaleNormal="100" workbookViewId="0">
      <pane xSplit="4" ySplit="8" topLeftCell="E9" activePane="bottomRight" state="frozen"/>
      <selection pane="topRight" activeCell="E1" sqref="E1"/>
      <selection pane="bottomLeft" activeCell="A9" sqref="A9"/>
      <selection pane="bottomRight" activeCell="B9" sqref="B9"/>
    </sheetView>
  </sheetViews>
  <sheetFormatPr defaultColWidth="8.85546875" defaultRowHeight="15" x14ac:dyDescent="0.25"/>
  <cols>
    <col min="1" max="1" width="1.85546875" style="215" customWidth="1"/>
    <col min="2" max="2" width="10.140625" style="159" customWidth="1"/>
    <col min="3" max="3" width="10.42578125" style="159" customWidth="1"/>
    <col min="4" max="4" width="30.140625" style="215" customWidth="1"/>
    <col min="5" max="5" width="4.140625" style="215" customWidth="1"/>
    <col min="6" max="6" width="1.5703125" style="215" customWidth="1"/>
    <col min="7" max="7" width="8.5703125" style="215" customWidth="1"/>
    <col min="8" max="8" width="4.42578125" style="215" customWidth="1"/>
    <col min="9" max="9" width="1.85546875" style="215" customWidth="1"/>
    <col min="10" max="10" width="7.140625" style="215" customWidth="1"/>
    <col min="11" max="11" width="3.85546875" style="215" customWidth="1"/>
    <col min="12" max="12" width="14.5703125" style="215" customWidth="1"/>
    <col min="13" max="13" width="5.5703125" style="215" customWidth="1"/>
    <col min="14" max="14" width="5.140625" style="215" customWidth="1"/>
    <col min="15" max="15" width="1.85546875" style="215" customWidth="1"/>
    <col min="16" max="16" width="5.42578125" style="215" customWidth="1"/>
    <col min="17" max="17" width="3.85546875" style="215" customWidth="1"/>
    <col min="18" max="18" width="13.5703125" style="215" customWidth="1"/>
    <col min="19" max="19" width="8.85546875" style="215" customWidth="1"/>
    <col min="20" max="20" width="13.5703125" style="215" customWidth="1"/>
    <col min="21" max="21" width="2.42578125" style="215" customWidth="1"/>
    <col min="22" max="22" width="4.140625" style="215" customWidth="1"/>
    <col min="23" max="23" width="12.85546875" style="215" customWidth="1"/>
    <col min="24" max="24" width="1.85546875" style="215" customWidth="1"/>
    <col min="25" max="25" width="7.57031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28.7" customHeight="1" x14ac:dyDescent="0.25">
      <c r="A2" s="244"/>
      <c r="B2" s="373" t="s">
        <v>849</v>
      </c>
      <c r="C2" s="193"/>
      <c r="D2" s="194"/>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3.35" customHeight="1" x14ac:dyDescent="0.25">
      <c r="A3" s="244"/>
      <c r="B3" s="244"/>
      <c r="C3" s="244"/>
      <c r="D3" s="244"/>
      <c r="E3" s="310"/>
      <c r="F3" s="244"/>
      <c r="G3" s="735" t="s">
        <v>23</v>
      </c>
      <c r="H3" s="735"/>
      <c r="I3" s="735"/>
      <c r="J3" s="735"/>
      <c r="K3" s="735"/>
      <c r="L3" s="735"/>
      <c r="M3" s="735"/>
      <c r="N3" s="735"/>
      <c r="O3" s="735"/>
      <c r="P3" s="735"/>
      <c r="Q3" s="735"/>
      <c r="R3" s="735"/>
      <c r="S3" s="735"/>
      <c r="T3" s="735"/>
      <c r="U3" s="735"/>
      <c r="V3" s="735"/>
      <c r="W3" s="735"/>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36">
        <f>IF(COUNTIF($D8:$D39,"*")&gt;0,(COUNTIFS($D8:$D39,"*",$F8:$F39,"1",V8:V39,"&gt;=0")+COUNTIFS($D8:$D39,"*",$F8:$F39,"&lt;&gt;1",E8:E39,"*"))/COUNTIF($D8:$D39,"*"),0)</f>
        <v>0</v>
      </c>
      <c r="C4" s="736"/>
      <c r="D4" s="736"/>
      <c r="E4" s="310"/>
      <c r="F4" s="244"/>
      <c r="G4" s="737" t="s">
        <v>808</v>
      </c>
      <c r="H4" s="738"/>
      <c r="I4" s="171" t="str">
        <f>IF(ISNUMBER(AVERAGE(I9:I39)),AVERAGE(I9:I39),"Sem")</f>
        <v>Sem</v>
      </c>
      <c r="J4" s="739" t="s">
        <v>809</v>
      </c>
      <c r="K4" s="739"/>
      <c r="L4" s="739"/>
      <c r="M4" s="739"/>
      <c r="N4" s="739"/>
      <c r="O4" s="171" t="str">
        <f>IF(ISNUMBER(AVERAGE(O9:O39)),AVERAGE(O9:O39),"Sem")</f>
        <v>Sem</v>
      </c>
      <c r="P4" s="739" t="s">
        <v>810</v>
      </c>
      <c r="Q4" s="739"/>
      <c r="R4" s="739"/>
      <c r="S4" s="739"/>
      <c r="T4" s="739"/>
      <c r="U4" s="171" t="str">
        <f>IF(ISNUMBER(AVERAGE(U9:U39)),AVERAGE(U9:U39),"Sem")</f>
        <v>Sem</v>
      </c>
      <c r="V4" s="740" t="s">
        <v>811</v>
      </c>
      <c r="W4" s="741"/>
      <c r="X4" s="207" t="str">
        <f>IF(ISNUMBER(AVERAGE(X9:X39)),AVERAGE(X9:X39),"Sem")</f>
        <v>Sem</v>
      </c>
      <c r="Y4" s="142"/>
      <c r="Z4" s="142"/>
      <c r="AA4" s="745" t="s">
        <v>812</v>
      </c>
      <c r="AB4" s="746"/>
      <c r="AC4" s="746"/>
      <c r="AD4" s="746"/>
      <c r="AE4" s="746"/>
      <c r="AF4" s="746"/>
      <c r="AG4" s="747"/>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5.45"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7.349999999999994"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20.25" x14ac:dyDescent="0.25">
      <c r="A9" s="311">
        <v>8</v>
      </c>
      <c r="B9" s="674"/>
      <c r="C9" s="675"/>
      <c r="D9" s="676"/>
      <c r="E9" s="677"/>
      <c r="F9" s="164"/>
      <c r="G9" s="677"/>
      <c r="H9" s="51"/>
      <c r="I9" s="171" t="str">
        <f>IF(G9="S",IF(H9=3,1,IF(H9=2,0.6,IF(H9=1,0.3,0))),"")</f>
        <v/>
      </c>
      <c r="J9" s="51"/>
      <c r="K9" s="51"/>
      <c r="L9" s="51"/>
      <c r="M9" s="51"/>
      <c r="N9" s="51"/>
      <c r="O9" s="171" t="str">
        <f t="shared" ref="O9:O43" si="0">IF(AND($F9=1,J9="S"),IF(K9=3,1,IF(K9=2,0.6,IF(K9=1,0.3,0))),"")</f>
        <v/>
      </c>
      <c r="P9" s="51"/>
      <c r="Q9" s="51"/>
      <c r="R9" s="51"/>
      <c r="S9" s="51"/>
      <c r="T9" s="51"/>
      <c r="U9" s="171" t="str">
        <f>IF(AND($F9=1,P9="S"),IF(Q9=3,1,IF(Q9=2,0.6,IF(Q9=1,0.3,0))),"")</f>
        <v/>
      </c>
      <c r="V9" s="335"/>
      <c r="W9" s="335"/>
      <c r="X9" s="171" t="str">
        <f>IF($F9=1,IF(V9=3,1,IF(V9=2,0.6,IF(V9=1,0.3,0))),"")</f>
        <v/>
      </c>
      <c r="Y9" s="336" t="str">
        <f t="shared" ref="Y9:Y32" si="1">IF(NOT(ISBLANK(D9)),IF(OR(ISNUMBER(I9),ISNUMBER(O9),ISNUMBER(U9),ISNUMBER(X9)),AVERAGE(I9,O9,U9,X9),0),"")</f>
        <v/>
      </c>
      <c r="Z9" s="329"/>
      <c r="AA9" s="337"/>
      <c r="AB9" s="297"/>
      <c r="AC9" s="337"/>
      <c r="AD9" s="337"/>
      <c r="AE9" s="337"/>
      <c r="AF9" s="337"/>
      <c r="AG9" s="338"/>
      <c r="AH9" s="243"/>
    </row>
    <row r="10" spans="1:175" ht="20.25" x14ac:dyDescent="0.25">
      <c r="A10" s="311">
        <v>8</v>
      </c>
      <c r="B10" s="674"/>
      <c r="C10" s="675"/>
      <c r="D10" s="676"/>
      <c r="E10" s="677"/>
      <c r="F10" s="164"/>
      <c r="G10" s="677"/>
      <c r="H10" s="51"/>
      <c r="I10" s="171" t="str">
        <f t="shared" ref="I10:I39" si="2">IF(G10="S",IF(H10=3,1,IF(H10=2,0.6,IF(H10=1,0.3,0))),"")</f>
        <v/>
      </c>
      <c r="J10" s="51"/>
      <c r="K10" s="51"/>
      <c r="L10" s="51"/>
      <c r="M10" s="51"/>
      <c r="N10" s="51"/>
      <c r="O10" s="171" t="str">
        <f t="shared" si="0"/>
        <v/>
      </c>
      <c r="P10" s="51"/>
      <c r="Q10" s="51"/>
      <c r="R10" s="51"/>
      <c r="S10" s="51"/>
      <c r="T10" s="51"/>
      <c r="U10" s="171" t="str">
        <f t="shared" ref="U10:U39" si="3">IF(AND($F10=1,P10="S"),IF(Q10=3,1,IF(Q10=2,0.6,IF(Q10=1,0.3,0))),"")</f>
        <v/>
      </c>
      <c r="V10" s="335"/>
      <c r="W10" s="335"/>
      <c r="X10" s="171" t="str">
        <f t="shared" ref="X10:X39" si="4">IF($F10=1,IF(V10=3,1,IF(V10=2,0.6,IF(V10=1,0.3,0))),"")</f>
        <v/>
      </c>
      <c r="Y10" s="336" t="str">
        <f t="shared" si="1"/>
        <v/>
      </c>
      <c r="Z10" s="329"/>
      <c r="AA10" s="337"/>
      <c r="AB10" s="297"/>
      <c r="AC10" s="337"/>
      <c r="AD10" s="337"/>
      <c r="AE10" s="337"/>
      <c r="AF10" s="337"/>
      <c r="AG10" s="338"/>
      <c r="AH10" s="243"/>
    </row>
    <row r="11" spans="1:175" ht="15.75" x14ac:dyDescent="0.25">
      <c r="A11" s="311">
        <v>8</v>
      </c>
      <c r="B11" s="674"/>
      <c r="C11" s="675"/>
      <c r="D11" s="676"/>
      <c r="E11" s="677"/>
      <c r="F11" s="164"/>
      <c r="G11" s="677"/>
      <c r="H11" s="51"/>
      <c r="I11" s="171" t="str">
        <f>IF(G11="S",IF(H11=3,1,IF(H11=2,0.6,IF(H11=1,0.3,0))),"")</f>
        <v/>
      </c>
      <c r="J11" s="51"/>
      <c r="K11" s="51"/>
      <c r="L11" s="51"/>
      <c r="M11" s="51"/>
      <c r="N11" s="51"/>
      <c r="O11" s="171" t="str">
        <f t="shared" si="0"/>
        <v/>
      </c>
      <c r="P11" s="51"/>
      <c r="Q11" s="51"/>
      <c r="R11" s="51"/>
      <c r="S11" s="51"/>
      <c r="T11" s="51"/>
      <c r="U11" s="171" t="str">
        <f>IF(AND($F11=1,P11="S"),IF(Q11=3,1,IF(Q11=2,0.6,IF(Q11=1,0.3,0))),"")</f>
        <v/>
      </c>
      <c r="V11" s="335"/>
      <c r="W11" s="335"/>
      <c r="X11" s="171" t="str">
        <f>IF($F11=1,IF(V11=3,1,IF(V11=2,0.6,IF(V11=1,0.3,0))),"")</f>
        <v/>
      </c>
      <c r="Y11" s="336" t="str">
        <f>IF(NOT(ISBLANK(D11)),IF(OR(ISNUMBER(I11),ISNUMBER(O11),ISNUMBER(U11),ISNUMBER(X11)),AVERAGE(I11,O11,U11,X11),0),"")</f>
        <v/>
      </c>
      <c r="Z11" s="329"/>
      <c r="AA11" s="337"/>
      <c r="AB11" s="337"/>
      <c r="AC11" s="337"/>
      <c r="AD11" s="337"/>
      <c r="AE11" s="337"/>
      <c r="AF11" s="337"/>
      <c r="AG11" s="338"/>
      <c r="AH11" s="243"/>
    </row>
    <row r="12" spans="1:175" ht="20.25" x14ac:dyDescent="0.25">
      <c r="A12" s="311">
        <v>8</v>
      </c>
      <c r="B12" s="674"/>
      <c r="C12" s="675"/>
      <c r="D12" s="676"/>
      <c r="E12" s="677"/>
      <c r="F12" s="164"/>
      <c r="G12" s="677"/>
      <c r="H12" s="51"/>
      <c r="I12" s="171" t="str">
        <f>IF(G12="S",IF(H12=3,1,IF(H12=2,0.6,IF(H12=1,0.3,0))),"")</f>
        <v/>
      </c>
      <c r="J12" s="51"/>
      <c r="K12" s="51"/>
      <c r="L12" s="51"/>
      <c r="M12" s="51"/>
      <c r="N12" s="51"/>
      <c r="O12" s="171" t="str">
        <f t="shared" si="0"/>
        <v/>
      </c>
      <c r="P12" s="51"/>
      <c r="Q12" s="51"/>
      <c r="R12" s="51"/>
      <c r="S12" s="51"/>
      <c r="T12" s="51"/>
      <c r="U12" s="171" t="str">
        <f>IF(AND($F12=1,P12="S"),IF(Q12=3,1,IF(Q12=2,0.6,IF(Q12=1,0.3,0))),"")</f>
        <v/>
      </c>
      <c r="V12" s="335"/>
      <c r="W12" s="335"/>
      <c r="X12" s="171" t="str">
        <f>IF($F12=1,IF(V12=3,1,IF(V12=2,0.6,IF(V12=1,0.3,0))),"")</f>
        <v/>
      </c>
      <c r="Y12" s="336" t="str">
        <f>IF(NOT(ISBLANK(D12)),IF(OR(ISNUMBER(I12),ISNUMBER(O12),ISNUMBER(U12),ISNUMBER(X12)),AVERAGE(I12,O12,U12,X12),0),"")</f>
        <v/>
      </c>
      <c r="Z12" s="329"/>
      <c r="AA12" s="337"/>
      <c r="AB12" s="337"/>
      <c r="AC12" s="337"/>
      <c r="AD12" s="337"/>
      <c r="AE12" s="337"/>
      <c r="AF12" s="337"/>
      <c r="AG12" s="338"/>
      <c r="AH12" s="243"/>
    </row>
    <row r="13" spans="1:175" ht="20.25" x14ac:dyDescent="0.25">
      <c r="A13" s="311">
        <v>8</v>
      </c>
      <c r="B13" s="674"/>
      <c r="C13" s="675"/>
      <c r="D13" s="676"/>
      <c r="E13" s="678"/>
      <c r="F13" s="164"/>
      <c r="G13" s="677"/>
      <c r="H13" s="51"/>
      <c r="I13" s="171" t="str">
        <f>IF(G13="S",IF(H13=3,1,IF(H13=2,0.6,IF(H13=1,0.3,0))),"")</f>
        <v/>
      </c>
      <c r="J13" s="51"/>
      <c r="K13" s="51"/>
      <c r="L13" s="51"/>
      <c r="M13" s="51"/>
      <c r="N13" s="51"/>
      <c r="O13" s="171" t="str">
        <f t="shared" si="0"/>
        <v/>
      </c>
      <c r="P13" s="51"/>
      <c r="Q13" s="51"/>
      <c r="R13" s="51"/>
      <c r="S13" s="51"/>
      <c r="T13" s="51"/>
      <c r="U13" s="171" t="str">
        <f>IF(AND($F13=1,P13="S"),IF(Q13=3,1,IF(Q13=2,0.6,IF(Q13=1,0.3,0))),"")</f>
        <v/>
      </c>
      <c r="V13" s="335"/>
      <c r="W13" s="335"/>
      <c r="X13" s="171" t="str">
        <f>IF($F13=1,IF(V13=3,1,IF(V13=2,0.6,IF(V13=1,0.3,0))),"")</f>
        <v/>
      </c>
      <c r="Y13" s="336" t="str">
        <f>IF(NOT(ISBLANK(D13)),IF(OR(ISNUMBER(I13),ISNUMBER(O13),ISNUMBER(U13),ISNUMBER(X13)),AVERAGE(I13,O13,U13,X13),0),"")</f>
        <v/>
      </c>
      <c r="Z13" s="329"/>
      <c r="AA13" s="337"/>
      <c r="AB13" s="337"/>
      <c r="AC13" s="337"/>
      <c r="AD13" s="337"/>
      <c r="AE13" s="337"/>
      <c r="AF13" s="337"/>
      <c r="AG13" s="338"/>
      <c r="AH13" s="243"/>
    </row>
    <row r="14" spans="1:175" ht="23.25" x14ac:dyDescent="0.25">
      <c r="A14" s="311">
        <v>8</v>
      </c>
      <c r="B14" s="674"/>
      <c r="C14" s="675"/>
      <c r="D14" s="676"/>
      <c r="E14" s="677"/>
      <c r="F14" s="164"/>
      <c r="G14" s="677"/>
      <c r="H14" s="51"/>
      <c r="I14" s="171" t="str">
        <f t="shared" si="2"/>
        <v/>
      </c>
      <c r="J14" s="51"/>
      <c r="K14" s="51"/>
      <c r="L14" s="51"/>
      <c r="M14" s="51"/>
      <c r="N14" s="51"/>
      <c r="O14" s="171" t="str">
        <f t="shared" si="0"/>
        <v/>
      </c>
      <c r="P14" s="51"/>
      <c r="Q14" s="51"/>
      <c r="R14" s="51"/>
      <c r="S14" s="51"/>
      <c r="T14" s="51"/>
      <c r="U14" s="171" t="str">
        <f t="shared" si="3"/>
        <v/>
      </c>
      <c r="V14" s="335"/>
      <c r="W14" s="335"/>
      <c r="X14" s="171" t="str">
        <f t="shared" si="4"/>
        <v/>
      </c>
      <c r="Y14" s="336" t="str">
        <f t="shared" si="1"/>
        <v/>
      </c>
      <c r="Z14" s="329"/>
      <c r="AA14" s="337"/>
      <c r="AB14" s="337"/>
      <c r="AC14" s="337"/>
      <c r="AD14" s="337"/>
      <c r="AE14" s="337"/>
      <c r="AF14" s="337"/>
      <c r="AG14" s="338"/>
      <c r="AH14" s="243"/>
    </row>
    <row r="15" spans="1:175" ht="15.75" x14ac:dyDescent="0.25">
      <c r="A15" s="311">
        <v>8</v>
      </c>
      <c r="B15" s="674"/>
      <c r="C15" s="675"/>
      <c r="D15" s="683"/>
      <c r="E15" s="677"/>
      <c r="F15" s="164"/>
      <c r="G15" s="677"/>
      <c r="H15" s="51"/>
      <c r="I15" s="171" t="str">
        <f t="shared" si="2"/>
        <v/>
      </c>
      <c r="J15" s="51"/>
      <c r="K15" s="51"/>
      <c r="L15" s="51"/>
      <c r="M15" s="51"/>
      <c r="N15" s="51"/>
      <c r="O15" s="171" t="str">
        <f t="shared" si="0"/>
        <v/>
      </c>
      <c r="P15" s="51"/>
      <c r="Q15" s="51"/>
      <c r="R15" s="51"/>
      <c r="S15" s="51"/>
      <c r="T15" s="51"/>
      <c r="U15" s="171" t="str">
        <f t="shared" si="3"/>
        <v/>
      </c>
      <c r="V15" s="335"/>
      <c r="W15" s="335"/>
      <c r="X15" s="171" t="str">
        <f t="shared" si="4"/>
        <v/>
      </c>
      <c r="Y15" s="336" t="str">
        <f t="shared" si="1"/>
        <v/>
      </c>
      <c r="Z15" s="329"/>
      <c r="AA15" s="337"/>
      <c r="AB15" s="337"/>
      <c r="AC15" s="337"/>
      <c r="AD15" s="337"/>
      <c r="AE15" s="337"/>
      <c r="AF15" s="337"/>
      <c r="AG15" s="338"/>
      <c r="AH15" s="243"/>
    </row>
    <row r="16" spans="1:175" ht="15.75" x14ac:dyDescent="0.25">
      <c r="A16" s="311">
        <v>8</v>
      </c>
      <c r="B16" s="674"/>
      <c r="C16" s="675"/>
      <c r="D16" s="676"/>
      <c r="E16" s="677"/>
      <c r="F16" s="164"/>
      <c r="G16" s="677"/>
      <c r="H16" s="51"/>
      <c r="I16" s="171" t="str">
        <f t="shared" si="2"/>
        <v/>
      </c>
      <c r="J16" s="51"/>
      <c r="K16" s="51"/>
      <c r="L16" s="51"/>
      <c r="M16" s="51"/>
      <c r="N16" s="51"/>
      <c r="O16" s="171" t="str">
        <f t="shared" si="0"/>
        <v/>
      </c>
      <c r="P16" s="51"/>
      <c r="Q16" s="51"/>
      <c r="R16" s="51"/>
      <c r="S16" s="51"/>
      <c r="T16" s="51"/>
      <c r="U16" s="171" t="str">
        <f t="shared" si="3"/>
        <v/>
      </c>
      <c r="V16" s="335"/>
      <c r="W16" s="335"/>
      <c r="X16" s="171" t="str">
        <f t="shared" si="4"/>
        <v/>
      </c>
      <c r="Y16" s="336" t="str">
        <f t="shared" si="1"/>
        <v/>
      </c>
      <c r="Z16" s="329"/>
      <c r="AA16" s="337"/>
      <c r="AB16" s="337"/>
      <c r="AC16" s="337"/>
      <c r="AD16" s="337"/>
      <c r="AE16" s="337"/>
      <c r="AF16" s="337"/>
      <c r="AG16" s="338"/>
      <c r="AH16" s="243"/>
    </row>
    <row r="17" spans="1:34" ht="20.25" x14ac:dyDescent="0.25">
      <c r="A17" s="311">
        <v>8</v>
      </c>
      <c r="B17" s="674"/>
      <c r="C17" s="675"/>
      <c r="D17" s="676"/>
      <c r="E17" s="677"/>
      <c r="F17" s="164"/>
      <c r="G17" s="677"/>
      <c r="H17" s="51"/>
      <c r="I17" s="171" t="str">
        <f t="shared" si="2"/>
        <v/>
      </c>
      <c r="J17" s="51"/>
      <c r="K17" s="681"/>
      <c r="L17" s="51"/>
      <c r="M17" s="51"/>
      <c r="N17" s="51"/>
      <c r="O17" s="171" t="str">
        <f t="shared" si="0"/>
        <v/>
      </c>
      <c r="P17" s="51"/>
      <c r="Q17" s="681"/>
      <c r="R17" s="51"/>
      <c r="S17" s="51"/>
      <c r="T17" s="51"/>
      <c r="U17" s="171" t="str">
        <f t="shared" si="3"/>
        <v/>
      </c>
      <c r="V17" s="335"/>
      <c r="W17" s="335"/>
      <c r="X17" s="171" t="str">
        <f t="shared" si="4"/>
        <v/>
      </c>
      <c r="Y17" s="336" t="str">
        <f t="shared" si="1"/>
        <v/>
      </c>
      <c r="Z17" s="329"/>
      <c r="AA17" s="337"/>
      <c r="AB17" s="337"/>
      <c r="AC17" s="337"/>
      <c r="AD17" s="337"/>
      <c r="AE17" s="337"/>
      <c r="AF17" s="337"/>
      <c r="AG17" s="338"/>
      <c r="AH17" s="243"/>
    </row>
    <row r="18" spans="1:34" ht="20.25" x14ac:dyDescent="0.25">
      <c r="A18" s="311">
        <v>8</v>
      </c>
      <c r="B18" s="674"/>
      <c r="C18" s="675"/>
      <c r="D18" s="676"/>
      <c r="E18" s="678"/>
      <c r="F18" s="164"/>
      <c r="G18" s="677"/>
      <c r="H18" s="51"/>
      <c r="I18" s="171" t="str">
        <f t="shared" ref="I18" si="5">IF(G18="S",IF(H18=3,1,IF(H18=2,0.6,IF(H18=1,0.3,0))),"")</f>
        <v/>
      </c>
      <c r="J18" s="51"/>
      <c r="K18" s="51"/>
      <c r="L18" s="51"/>
      <c r="M18" s="51"/>
      <c r="N18" s="51"/>
      <c r="O18" s="171" t="str">
        <f t="shared" si="0"/>
        <v/>
      </c>
      <c r="P18" s="51"/>
      <c r="Q18" s="51"/>
      <c r="R18" s="51"/>
      <c r="S18" s="51"/>
      <c r="T18" s="51"/>
      <c r="U18" s="171" t="str">
        <f t="shared" ref="U18" si="6">IF(AND($F18=1,P18="S"),IF(Q18=3,1,IF(Q18=2,0.6,IF(Q18=1,0.3,0))),"")</f>
        <v/>
      </c>
      <c r="V18" s="335"/>
      <c r="W18" s="335"/>
      <c r="X18" s="171" t="str">
        <f t="shared" ref="X18" si="7">IF($F18=1,IF(V18=3,1,IF(V18=2,0.6,IF(V18=1,0.3,0))),"")</f>
        <v/>
      </c>
      <c r="Y18" s="336" t="str">
        <f t="shared" ref="Y18" si="8">IF(NOT(ISBLANK(D18)),IF(OR(ISNUMBER(I18),ISNUMBER(O18),ISNUMBER(U18),ISNUMBER(X18)),AVERAGE(I18,O18,U18,X18),0),"")</f>
        <v/>
      </c>
      <c r="Z18" s="329"/>
      <c r="AA18" s="337"/>
      <c r="AB18" s="297"/>
      <c r="AC18" s="337"/>
      <c r="AD18" s="337"/>
      <c r="AE18" s="337"/>
      <c r="AF18" s="337"/>
      <c r="AG18" s="338"/>
      <c r="AH18" s="243"/>
    </row>
    <row r="19" spans="1:34" ht="20.25" x14ac:dyDescent="0.25">
      <c r="A19" s="311">
        <v>8</v>
      </c>
      <c r="B19" s="674"/>
      <c r="C19" s="675"/>
      <c r="D19" s="676"/>
      <c r="E19" s="677"/>
      <c r="F19" s="164"/>
      <c r="G19" s="677"/>
      <c r="H19" s="51"/>
      <c r="I19" s="171" t="str">
        <f>IF(G19="S",IF(H19=3,1,IF(H19=2,0.6,IF(H19=1,0.3,0))),"")</f>
        <v/>
      </c>
      <c r="J19" s="51"/>
      <c r="K19" s="51"/>
      <c r="L19" s="51"/>
      <c r="M19" s="51"/>
      <c r="N19" s="51"/>
      <c r="O19" s="171" t="str">
        <f t="shared" si="0"/>
        <v/>
      </c>
      <c r="P19" s="51"/>
      <c r="Q19" s="51"/>
      <c r="R19" s="51"/>
      <c r="S19" s="51"/>
      <c r="T19" s="51"/>
      <c r="U19" s="171" t="str">
        <f>IF(AND($F19=1,P19="S"),IF(Q19=3,1,IF(Q19=2,0.6,IF(Q19=1,0.3,0))),"")</f>
        <v/>
      </c>
      <c r="V19" s="335"/>
      <c r="W19" s="335"/>
      <c r="X19" s="171" t="str">
        <f>IF($F19=1,IF(V19=3,1,IF(V19=2,0.6,IF(V19=1,0.3,0))),"")</f>
        <v/>
      </c>
      <c r="Y19" s="336" t="str">
        <f>IF(NOT(ISBLANK(D19)),IF(OR(ISNUMBER(I19),ISNUMBER(O19),ISNUMBER(U19),ISNUMBER(X19)),AVERAGE(I19,O19,U19,X19),0),"")</f>
        <v/>
      </c>
      <c r="Z19" s="329"/>
      <c r="AA19" s="337"/>
      <c r="AB19" s="337"/>
      <c r="AC19" s="337"/>
      <c r="AD19" s="337"/>
      <c r="AE19" s="337"/>
      <c r="AF19" s="337"/>
      <c r="AG19" s="338"/>
      <c r="AH19" s="243"/>
    </row>
    <row r="20" spans="1:34" ht="15.75" x14ac:dyDescent="0.25">
      <c r="A20" s="311">
        <v>8</v>
      </c>
      <c r="B20" s="674"/>
      <c r="C20" s="675"/>
      <c r="D20" s="676"/>
      <c r="E20" s="677"/>
      <c r="F20" s="164"/>
      <c r="G20" s="677"/>
      <c r="H20" s="51"/>
      <c r="I20" s="171" t="str">
        <f>IF(G20="S",IF(H20=3,1,IF(H20=2,0.6,IF(H20=1,0.3,0))),"")</f>
        <v/>
      </c>
      <c r="J20" s="51"/>
      <c r="K20" s="51"/>
      <c r="L20" s="51"/>
      <c r="M20" s="51"/>
      <c r="N20" s="51"/>
      <c r="O20" s="171" t="str">
        <f t="shared" si="0"/>
        <v/>
      </c>
      <c r="P20" s="51"/>
      <c r="Q20" s="51"/>
      <c r="R20" s="51"/>
      <c r="S20" s="51"/>
      <c r="T20" s="51"/>
      <c r="U20" s="171" t="str">
        <f>IF(AND($F20=1,P20="S"),IF(Q20=3,1,IF(Q20=2,0.6,IF(Q20=1,0.3,0))),"")</f>
        <v/>
      </c>
      <c r="V20" s="335"/>
      <c r="W20" s="335"/>
      <c r="X20" s="171" t="str">
        <f>IF($F20=1,IF(V20=3,1,IF(V20=2,0.6,IF(V20=1,0.3,0))),"")</f>
        <v/>
      </c>
      <c r="Y20" s="336" t="str">
        <f>IF(NOT(ISBLANK(D20)),IF(OR(ISNUMBER(I20),ISNUMBER(O20),ISNUMBER(U20),ISNUMBER(X20)),AVERAGE(I20,O20,U20,X20),0),"")</f>
        <v/>
      </c>
      <c r="Z20" s="329"/>
      <c r="AA20" s="337"/>
      <c r="AB20" s="337"/>
      <c r="AC20" s="337"/>
      <c r="AD20" s="337"/>
      <c r="AE20" s="337"/>
      <c r="AF20" s="337"/>
      <c r="AG20" s="338"/>
      <c r="AH20" s="243"/>
    </row>
    <row r="21" spans="1:34" ht="20.25" x14ac:dyDescent="0.25">
      <c r="A21" s="311">
        <v>8</v>
      </c>
      <c r="B21" s="674"/>
      <c r="C21" s="675"/>
      <c r="D21" s="676"/>
      <c r="E21" s="677"/>
      <c r="F21" s="164"/>
      <c r="G21" s="677"/>
      <c r="H21" s="51"/>
      <c r="I21" s="171" t="str">
        <f>IF(G21="S",IF(H21=3,1,IF(H21=2,0.6,IF(H21=1,0.3,0))),"")</f>
        <v/>
      </c>
      <c r="J21" s="51"/>
      <c r="K21" s="51"/>
      <c r="L21" s="51"/>
      <c r="M21" s="51"/>
      <c r="N21" s="51"/>
      <c r="O21" s="171" t="str">
        <f t="shared" si="0"/>
        <v/>
      </c>
      <c r="P21" s="51"/>
      <c r="Q21" s="51"/>
      <c r="R21" s="51"/>
      <c r="S21" s="51"/>
      <c r="T21" s="51"/>
      <c r="U21" s="171" t="str">
        <f>IF(AND($F21=1,P21="S"),IF(Q21=3,1,IF(Q21=2,0.6,IF(Q21=1,0.3,0))),"")</f>
        <v/>
      </c>
      <c r="V21" s="335"/>
      <c r="W21" s="335"/>
      <c r="X21" s="171" t="str">
        <f>IF($F21=1,IF(V21=3,1,IF(V21=2,0.6,IF(V21=1,0.3,0))),"")</f>
        <v/>
      </c>
      <c r="Y21" s="336" t="str">
        <f>IF(NOT(ISBLANK(D21)),IF(OR(ISNUMBER(I21),ISNUMBER(O21),ISNUMBER(U21),ISNUMBER(X21)),AVERAGE(I21,O21,U21,X21),0),"")</f>
        <v/>
      </c>
      <c r="Z21" s="329"/>
      <c r="AA21" s="337"/>
      <c r="AB21" s="337"/>
      <c r="AC21" s="337"/>
      <c r="AD21" s="337"/>
      <c r="AE21" s="337"/>
      <c r="AF21" s="337"/>
      <c r="AG21" s="338"/>
      <c r="AH21" s="243"/>
    </row>
    <row r="22" spans="1:34" ht="20.25" x14ac:dyDescent="0.25">
      <c r="A22" s="311">
        <v>8</v>
      </c>
      <c r="B22" s="674"/>
      <c r="C22" s="675"/>
      <c r="D22" s="676"/>
      <c r="E22" s="677"/>
      <c r="F22" s="164"/>
      <c r="G22" s="677"/>
      <c r="H22" s="51"/>
      <c r="I22" s="171" t="str">
        <f t="shared" ref="I22:I25" si="9">IF(G22="S",IF(H22=3,1,IF(H22=2,0.6,IF(H22=1,0.3,0))),"")</f>
        <v/>
      </c>
      <c r="J22" s="51"/>
      <c r="K22" s="51"/>
      <c r="L22" s="51"/>
      <c r="M22" s="51"/>
      <c r="N22" s="51"/>
      <c r="O22" s="171" t="str">
        <f t="shared" si="0"/>
        <v/>
      </c>
      <c r="P22" s="51"/>
      <c r="Q22" s="51"/>
      <c r="R22" s="51"/>
      <c r="S22" s="51"/>
      <c r="T22" s="51"/>
      <c r="U22" s="171" t="str">
        <f t="shared" ref="U22:U25" si="10">IF(AND($F22=1,P22="S"),IF(Q22=3,1,IF(Q22=2,0.6,IF(Q22=1,0.3,0))),"")</f>
        <v/>
      </c>
      <c r="V22" s="335"/>
      <c r="W22" s="335"/>
      <c r="X22" s="171" t="str">
        <f t="shared" ref="X22:X25" si="11">IF($F22=1,IF(V22=3,1,IF(V22=2,0.6,IF(V22=1,0.3,0))),"")</f>
        <v/>
      </c>
      <c r="Y22" s="336" t="str">
        <f t="shared" ref="Y22:Y25" si="12">IF(NOT(ISBLANK(D22)),IF(OR(ISNUMBER(I22),ISNUMBER(O22),ISNUMBER(U22),ISNUMBER(X22)),AVERAGE(I22,O22,U22,X22),0),"")</f>
        <v/>
      </c>
      <c r="Z22" s="329"/>
      <c r="AA22" s="337"/>
      <c r="AB22" s="337"/>
      <c r="AC22" s="337"/>
      <c r="AD22" s="337"/>
      <c r="AE22" s="337"/>
      <c r="AF22" s="337"/>
      <c r="AG22" s="338"/>
      <c r="AH22" s="243"/>
    </row>
    <row r="23" spans="1:34" ht="20.25" x14ac:dyDescent="0.25">
      <c r="A23" s="311">
        <v>8</v>
      </c>
      <c r="B23" s="674"/>
      <c r="C23" s="675"/>
      <c r="D23" s="676"/>
      <c r="E23" s="677"/>
      <c r="F23" s="164"/>
      <c r="G23" s="677"/>
      <c r="H23" s="51"/>
      <c r="I23" s="171" t="str">
        <f t="shared" si="9"/>
        <v/>
      </c>
      <c r="J23" s="51"/>
      <c r="K23" s="51"/>
      <c r="L23" s="51"/>
      <c r="M23" s="51"/>
      <c r="N23" s="51"/>
      <c r="O23" s="171" t="str">
        <f t="shared" si="0"/>
        <v/>
      </c>
      <c r="P23" s="51"/>
      <c r="Q23" s="51"/>
      <c r="R23" s="51"/>
      <c r="S23" s="51"/>
      <c r="T23" s="51"/>
      <c r="U23" s="171" t="str">
        <f t="shared" si="10"/>
        <v/>
      </c>
      <c r="V23" s="335"/>
      <c r="W23" s="335"/>
      <c r="X23" s="171" t="str">
        <f t="shared" si="11"/>
        <v/>
      </c>
      <c r="Y23" s="336" t="str">
        <f t="shared" si="12"/>
        <v/>
      </c>
      <c r="Z23" s="329"/>
      <c r="AA23" s="337"/>
      <c r="AB23" s="337"/>
      <c r="AC23" s="337"/>
      <c r="AD23" s="337"/>
      <c r="AE23" s="337"/>
      <c r="AF23" s="337"/>
      <c r="AG23" s="338"/>
      <c r="AH23" s="243"/>
    </row>
    <row r="24" spans="1:34" ht="15.75" x14ac:dyDescent="0.25">
      <c r="A24" s="311">
        <v>8</v>
      </c>
      <c r="B24" s="674"/>
      <c r="C24" s="675"/>
      <c r="D24" s="676"/>
      <c r="E24" s="677"/>
      <c r="F24" s="164"/>
      <c r="G24" s="677"/>
      <c r="H24" s="51"/>
      <c r="I24" s="171" t="str">
        <f t="shared" si="9"/>
        <v/>
      </c>
      <c r="J24" s="51"/>
      <c r="K24" s="51"/>
      <c r="L24" s="51"/>
      <c r="M24" s="51"/>
      <c r="N24" s="51"/>
      <c r="O24" s="171" t="str">
        <f t="shared" si="0"/>
        <v/>
      </c>
      <c r="P24" s="51"/>
      <c r="Q24" s="51"/>
      <c r="R24" s="51"/>
      <c r="S24" s="51"/>
      <c r="T24" s="51"/>
      <c r="U24" s="171" t="str">
        <f t="shared" si="10"/>
        <v/>
      </c>
      <c r="V24" s="335"/>
      <c r="W24" s="335"/>
      <c r="X24" s="171" t="str">
        <f t="shared" si="11"/>
        <v/>
      </c>
      <c r="Y24" s="336" t="str">
        <f t="shared" si="12"/>
        <v/>
      </c>
      <c r="Z24" s="329"/>
      <c r="AA24" s="337"/>
      <c r="AB24" s="337"/>
      <c r="AC24" s="337"/>
      <c r="AD24" s="337"/>
      <c r="AE24" s="337"/>
      <c r="AF24" s="337"/>
      <c r="AG24" s="338"/>
      <c r="AH24" s="243"/>
    </row>
    <row r="25" spans="1:34" ht="15.75" x14ac:dyDescent="0.25">
      <c r="A25" s="311">
        <v>8</v>
      </c>
      <c r="B25" s="674"/>
      <c r="C25" s="675"/>
      <c r="D25" s="676"/>
      <c r="E25" s="677"/>
      <c r="F25" s="164"/>
      <c r="G25" s="677"/>
      <c r="H25" s="51"/>
      <c r="I25" s="171" t="str">
        <f t="shared" si="9"/>
        <v/>
      </c>
      <c r="J25" s="51"/>
      <c r="K25" s="51"/>
      <c r="L25" s="51"/>
      <c r="M25" s="51"/>
      <c r="N25" s="51"/>
      <c r="O25" s="171" t="str">
        <f t="shared" si="0"/>
        <v/>
      </c>
      <c r="P25" s="51"/>
      <c r="Q25" s="51"/>
      <c r="R25" s="51"/>
      <c r="S25" s="51"/>
      <c r="T25" s="51"/>
      <c r="U25" s="171" t="str">
        <f t="shared" si="10"/>
        <v/>
      </c>
      <c r="V25" s="335"/>
      <c r="W25" s="335"/>
      <c r="X25" s="171" t="str">
        <f t="shared" si="11"/>
        <v/>
      </c>
      <c r="Y25" s="336" t="str">
        <f t="shared" si="12"/>
        <v/>
      </c>
      <c r="Z25" s="329"/>
      <c r="AA25" s="337"/>
      <c r="AB25" s="337"/>
      <c r="AC25" s="337"/>
      <c r="AD25" s="337"/>
      <c r="AE25" s="337"/>
      <c r="AF25" s="337"/>
      <c r="AG25" s="338"/>
      <c r="AH25" s="243"/>
    </row>
    <row r="26" spans="1:34" ht="15.75" x14ac:dyDescent="0.25">
      <c r="A26" s="311">
        <v>8</v>
      </c>
      <c r="B26" s="674"/>
      <c r="C26" s="675"/>
      <c r="D26" s="676"/>
      <c r="E26" s="677"/>
      <c r="F26" s="164"/>
      <c r="G26" s="677"/>
      <c r="H26" s="51"/>
      <c r="I26" s="171" t="str">
        <f t="shared" si="2"/>
        <v/>
      </c>
      <c r="J26" s="51"/>
      <c r="K26" s="51"/>
      <c r="L26" s="51"/>
      <c r="M26" s="51"/>
      <c r="N26" s="51"/>
      <c r="O26" s="171" t="str">
        <f t="shared" si="0"/>
        <v/>
      </c>
      <c r="P26" s="51"/>
      <c r="Q26" s="51"/>
      <c r="R26" s="51"/>
      <c r="S26" s="51"/>
      <c r="T26" s="51"/>
      <c r="U26" s="171" t="str">
        <f t="shared" si="3"/>
        <v/>
      </c>
      <c r="V26" s="335"/>
      <c r="W26" s="335"/>
      <c r="X26" s="171" t="str">
        <f t="shared" si="4"/>
        <v/>
      </c>
      <c r="Y26" s="336" t="str">
        <f t="shared" si="1"/>
        <v/>
      </c>
      <c r="Z26" s="329"/>
      <c r="AA26" s="337"/>
      <c r="AB26" s="337"/>
      <c r="AC26" s="337"/>
      <c r="AD26" s="337"/>
      <c r="AE26" s="337"/>
      <c r="AF26" s="337"/>
      <c r="AG26" s="338"/>
      <c r="AH26" s="243"/>
    </row>
    <row r="27" spans="1:34" ht="15.75" x14ac:dyDescent="0.25">
      <c r="A27" s="311">
        <v>8</v>
      </c>
      <c r="B27" s="161"/>
      <c r="C27" s="333"/>
      <c r="D27" s="334"/>
      <c r="E27" s="51"/>
      <c r="F27" s="164"/>
      <c r="G27" s="51"/>
      <c r="H27" s="51"/>
      <c r="I27" s="171" t="str">
        <f>IF(G27="S",IF(H27=3,1,IF(H27=2,0.6,IF(H27=1,0.3,0))),"")</f>
        <v/>
      </c>
      <c r="J27" s="51"/>
      <c r="K27" s="51"/>
      <c r="L27" s="51"/>
      <c r="M27" s="51"/>
      <c r="N27" s="51"/>
      <c r="O27" s="171" t="str">
        <f t="shared" si="0"/>
        <v/>
      </c>
      <c r="P27" s="51"/>
      <c r="Q27" s="51"/>
      <c r="R27" s="51"/>
      <c r="S27" s="51"/>
      <c r="T27" s="51"/>
      <c r="U27" s="171" t="str">
        <f>IF(AND($F27=1,P27="S"),IF(Q27=3,1,IF(Q27=2,0.6,IF(Q27=1,0.3,0))),"")</f>
        <v/>
      </c>
      <c r="V27" s="335"/>
      <c r="W27" s="335"/>
      <c r="X27" s="171" t="str">
        <f>IF($F27=1,IF(V27=3,1,IF(V27=2,0.6,IF(V27=1,0.3,0))),"")</f>
        <v/>
      </c>
      <c r="Y27" s="336" t="str">
        <f>IF(NOT(ISBLANK(D27)),IF(OR(ISNUMBER(I27),ISNUMBER(O27),ISNUMBER(U27),ISNUMBER(X27)),AVERAGE(I27,O27,U27,X27),0),"")</f>
        <v/>
      </c>
      <c r="Z27" s="329"/>
      <c r="AA27" s="337"/>
      <c r="AB27" s="337"/>
      <c r="AC27" s="337"/>
      <c r="AD27" s="337"/>
      <c r="AE27" s="337"/>
      <c r="AF27" s="337"/>
      <c r="AG27" s="338"/>
      <c r="AH27" s="243"/>
    </row>
    <row r="28" spans="1:34" ht="15.75" x14ac:dyDescent="0.25">
      <c r="A28" s="311">
        <v>8</v>
      </c>
      <c r="B28" s="161"/>
      <c r="C28" s="333"/>
      <c r="D28" s="334"/>
      <c r="E28" s="51"/>
      <c r="F28" s="164" t="str">
        <f t="shared" ref="F28:F38" si="13">IF(OR(ISNUMBER(SEARCH("N",$E28)),ISNUMBER(SEARCH("E",$E28))),1,"")</f>
        <v/>
      </c>
      <c r="G28" s="51"/>
      <c r="H28" s="51"/>
      <c r="I28" s="171" t="str">
        <f>IF(G28="S",IF(H28=3,1,IF(H28=2,0.6,IF(H28=1,0.3,0))),"")</f>
        <v/>
      </c>
      <c r="J28" s="51"/>
      <c r="K28" s="51"/>
      <c r="L28" s="51"/>
      <c r="M28" s="51"/>
      <c r="N28" s="51"/>
      <c r="O28" s="171" t="str">
        <f t="shared" si="0"/>
        <v/>
      </c>
      <c r="P28" s="51"/>
      <c r="Q28" s="51"/>
      <c r="R28" s="51"/>
      <c r="S28" s="51"/>
      <c r="T28" s="51"/>
      <c r="U28" s="171" t="str">
        <f>IF(AND($F28=1,P28="S"),IF(Q28=3,1,IF(Q28=2,0.6,IF(Q28=1,0.3,0))),"")</f>
        <v/>
      </c>
      <c r="V28" s="335"/>
      <c r="W28" s="335"/>
      <c r="X28" s="171" t="str">
        <f>IF($F28=1,IF(V28=3,1,IF(V28=2,0.6,IF(V28=1,0.3,0))),"")</f>
        <v/>
      </c>
      <c r="Y28" s="336" t="str">
        <f>IF(NOT(ISBLANK(D28)),IF(OR(ISNUMBER(I28),ISNUMBER(O28),ISNUMBER(U28),ISNUMBER(X28)),AVERAGE(I28,O28,U28,X28),0),"")</f>
        <v/>
      </c>
      <c r="Z28" s="329"/>
      <c r="AA28" s="337"/>
      <c r="AB28" s="337"/>
      <c r="AC28" s="337"/>
      <c r="AD28" s="337"/>
      <c r="AE28" s="337"/>
      <c r="AF28" s="337"/>
      <c r="AG28" s="338"/>
      <c r="AH28" s="243"/>
    </row>
    <row r="29" spans="1:34" ht="15.75" x14ac:dyDescent="0.25">
      <c r="A29" s="311">
        <v>8</v>
      </c>
      <c r="B29" s="161"/>
      <c r="C29" s="333"/>
      <c r="D29" s="334"/>
      <c r="E29" s="153"/>
      <c r="F29" s="164" t="str">
        <f t="shared" si="13"/>
        <v/>
      </c>
      <c r="G29" s="51"/>
      <c r="H29" s="51"/>
      <c r="I29" s="171" t="str">
        <f>IF(G29="S",IF(H29=3,1,IF(H29=2,0.6,IF(H29=1,0.3,0))),"")</f>
        <v/>
      </c>
      <c r="J29" s="51"/>
      <c r="K29" s="51"/>
      <c r="L29" s="51"/>
      <c r="M29" s="51"/>
      <c r="N29" s="51"/>
      <c r="O29" s="171" t="str">
        <f t="shared" si="0"/>
        <v/>
      </c>
      <c r="P29" s="51"/>
      <c r="Q29" s="51"/>
      <c r="R29" s="51"/>
      <c r="S29" s="51"/>
      <c r="T29" s="51"/>
      <c r="U29" s="171" t="str">
        <f>IF(AND($F29=1,P29="S"),IF(Q29=3,1,IF(Q29=2,0.6,IF(Q29=1,0.3,0))),"")</f>
        <v/>
      </c>
      <c r="V29" s="335"/>
      <c r="W29" s="335"/>
      <c r="X29" s="171" t="str">
        <f>IF($F29=1,IF(V29=3,1,IF(V29=2,0.6,IF(V29=1,0.3,0))),"")</f>
        <v/>
      </c>
      <c r="Y29" s="336" t="str">
        <f>IF(NOT(ISBLANK(D29)),IF(OR(ISNUMBER(I29),ISNUMBER(O29),ISNUMBER(U29),ISNUMBER(X29)),AVERAGE(I29,O29,U29,X29),0),"")</f>
        <v/>
      </c>
      <c r="Z29" s="329"/>
      <c r="AA29" s="337"/>
      <c r="AB29" s="337"/>
      <c r="AC29" s="337"/>
      <c r="AD29" s="337"/>
      <c r="AE29" s="337"/>
      <c r="AF29" s="337"/>
      <c r="AG29" s="338"/>
      <c r="AH29" s="243"/>
    </row>
    <row r="30" spans="1:34" ht="15.75" x14ac:dyDescent="0.25">
      <c r="A30" s="311">
        <v>8</v>
      </c>
      <c r="B30" s="161"/>
      <c r="C30" s="333"/>
      <c r="D30" s="334"/>
      <c r="E30" s="51"/>
      <c r="F30" s="164" t="str">
        <f t="shared" si="13"/>
        <v/>
      </c>
      <c r="G30" s="51"/>
      <c r="H30" s="51"/>
      <c r="I30" s="171" t="str">
        <f t="shared" si="2"/>
        <v/>
      </c>
      <c r="J30" s="51"/>
      <c r="K30" s="51"/>
      <c r="L30" s="51"/>
      <c r="M30" s="51"/>
      <c r="N30" s="51"/>
      <c r="O30" s="171" t="str">
        <f t="shared" si="0"/>
        <v/>
      </c>
      <c r="P30" s="51"/>
      <c r="Q30" s="51"/>
      <c r="R30" s="51"/>
      <c r="S30" s="51"/>
      <c r="T30" s="51"/>
      <c r="U30" s="171" t="str">
        <f t="shared" si="3"/>
        <v/>
      </c>
      <c r="V30" s="335"/>
      <c r="W30" s="335"/>
      <c r="X30" s="171" t="str">
        <f t="shared" si="4"/>
        <v/>
      </c>
      <c r="Y30" s="336" t="str">
        <f t="shared" si="1"/>
        <v/>
      </c>
      <c r="Z30" s="329"/>
      <c r="AA30" s="337"/>
      <c r="AB30" s="337"/>
      <c r="AC30" s="337"/>
      <c r="AD30" s="337"/>
      <c r="AE30" s="337"/>
      <c r="AF30" s="337"/>
      <c r="AG30" s="338"/>
      <c r="AH30" s="243"/>
    </row>
    <row r="31" spans="1:34" ht="15.75" x14ac:dyDescent="0.25">
      <c r="A31" s="311">
        <v>8</v>
      </c>
      <c r="B31" s="161"/>
      <c r="C31" s="333"/>
      <c r="D31" s="334"/>
      <c r="E31" s="51"/>
      <c r="F31" s="164" t="str">
        <f t="shared" si="13"/>
        <v/>
      </c>
      <c r="G31" s="51"/>
      <c r="H31" s="51"/>
      <c r="I31" s="171" t="str">
        <f t="shared" si="2"/>
        <v/>
      </c>
      <c r="J31" s="51"/>
      <c r="K31" s="51"/>
      <c r="L31" s="51"/>
      <c r="M31" s="51"/>
      <c r="N31" s="51"/>
      <c r="O31" s="171" t="str">
        <f t="shared" si="0"/>
        <v/>
      </c>
      <c r="P31" s="51"/>
      <c r="Q31" s="51"/>
      <c r="R31" s="51"/>
      <c r="S31" s="51"/>
      <c r="T31" s="51"/>
      <c r="U31" s="171" t="str">
        <f t="shared" si="3"/>
        <v/>
      </c>
      <c r="V31" s="335"/>
      <c r="W31" s="335"/>
      <c r="X31" s="171" t="str">
        <f t="shared" si="4"/>
        <v/>
      </c>
      <c r="Y31" s="336" t="str">
        <f t="shared" si="1"/>
        <v/>
      </c>
      <c r="Z31" s="329"/>
      <c r="AA31" s="337"/>
      <c r="AB31" s="337"/>
      <c r="AC31" s="337"/>
      <c r="AD31" s="337"/>
      <c r="AE31" s="337"/>
      <c r="AF31" s="337"/>
      <c r="AG31" s="338"/>
      <c r="AH31" s="243"/>
    </row>
    <row r="32" spans="1:34" ht="15.75" x14ac:dyDescent="0.25">
      <c r="A32" s="311">
        <v>8</v>
      </c>
      <c r="B32" s="161"/>
      <c r="C32" s="333"/>
      <c r="D32" s="334"/>
      <c r="E32" s="153"/>
      <c r="F32" s="164" t="str">
        <f t="shared" si="13"/>
        <v/>
      </c>
      <c r="G32" s="51"/>
      <c r="H32" s="51"/>
      <c r="I32" s="171" t="str">
        <f t="shared" si="2"/>
        <v/>
      </c>
      <c r="J32" s="51"/>
      <c r="K32" s="51"/>
      <c r="L32" s="51"/>
      <c r="M32" s="51"/>
      <c r="N32" s="51"/>
      <c r="O32" s="171" t="str">
        <f t="shared" si="0"/>
        <v/>
      </c>
      <c r="P32" s="51"/>
      <c r="Q32" s="51"/>
      <c r="R32" s="51"/>
      <c r="S32" s="51"/>
      <c r="T32" s="51"/>
      <c r="U32" s="171" t="str">
        <f t="shared" si="3"/>
        <v/>
      </c>
      <c r="V32" s="335"/>
      <c r="W32" s="335"/>
      <c r="X32" s="171" t="str">
        <f t="shared" si="4"/>
        <v/>
      </c>
      <c r="Y32" s="336" t="str">
        <f t="shared" si="1"/>
        <v/>
      </c>
      <c r="Z32" s="329"/>
      <c r="AA32" s="337"/>
      <c r="AB32" s="337"/>
      <c r="AC32" s="337"/>
      <c r="AD32" s="337"/>
      <c r="AE32" s="337"/>
      <c r="AF32" s="337"/>
      <c r="AG32" s="338"/>
      <c r="AH32" s="243"/>
    </row>
    <row r="33" spans="1:175" ht="15.75" x14ac:dyDescent="0.25">
      <c r="A33" s="311">
        <v>8</v>
      </c>
      <c r="B33" s="161"/>
      <c r="C33" s="333"/>
      <c r="D33" s="334"/>
      <c r="E33" s="51"/>
      <c r="F33" s="164" t="str">
        <f t="shared" si="13"/>
        <v/>
      </c>
      <c r="G33" s="51"/>
      <c r="H33" s="51"/>
      <c r="I33" s="171" t="str">
        <f>IF(G33="S",IF(H33=3,1,IF(H33=2,0.6,IF(H33=1,0.3,0))),"")</f>
        <v/>
      </c>
      <c r="J33" s="51"/>
      <c r="K33" s="51"/>
      <c r="L33" s="51"/>
      <c r="M33" s="51"/>
      <c r="N33" s="51"/>
      <c r="O33" s="171" t="str">
        <f t="shared" si="0"/>
        <v/>
      </c>
      <c r="P33" s="51"/>
      <c r="Q33" s="51"/>
      <c r="R33" s="51"/>
      <c r="S33" s="51"/>
      <c r="T33" s="51"/>
      <c r="U33" s="171" t="str">
        <f>IF(AND($F33=1,P33="S"),IF(Q33=3,1,IF(Q33=2,0.6,IF(Q33=1,0.3,0))),"")</f>
        <v/>
      </c>
      <c r="V33" s="335"/>
      <c r="W33" s="335"/>
      <c r="X33" s="171" t="str">
        <f>IF($F33=1,IF(V33=3,1,IF(V33=2,0.6,IF(V33=1,0.3,0))),"")</f>
        <v/>
      </c>
      <c r="Y33" s="336" t="str">
        <f>IF(NOT(ISBLANK(D33)),IF(OR(ISNUMBER(I33),ISNUMBER(O33),ISNUMBER(U33),ISNUMBER(X33)),AVERAGE(I33,O33,U33,X33),0),"")</f>
        <v/>
      </c>
      <c r="Z33" s="329"/>
      <c r="AA33" s="337"/>
      <c r="AB33" s="337"/>
      <c r="AC33" s="337"/>
      <c r="AD33" s="337"/>
      <c r="AE33" s="337"/>
      <c r="AF33" s="337"/>
      <c r="AG33" s="338"/>
      <c r="AH33" s="243"/>
    </row>
    <row r="34" spans="1:175" ht="15.75" x14ac:dyDescent="0.25">
      <c r="A34" s="311">
        <v>8</v>
      </c>
      <c r="B34" s="161"/>
      <c r="C34" s="333"/>
      <c r="D34" s="334"/>
      <c r="E34" s="51"/>
      <c r="F34" s="164" t="str">
        <f t="shared" si="13"/>
        <v/>
      </c>
      <c r="G34" s="51"/>
      <c r="H34" s="51"/>
      <c r="I34" s="171" t="str">
        <f>IF(G34="S",IF(H34=3,1,IF(H34=2,0.6,IF(H34=1,0.3,0))),"")</f>
        <v/>
      </c>
      <c r="J34" s="51"/>
      <c r="K34" s="51"/>
      <c r="L34" s="51"/>
      <c r="M34" s="51"/>
      <c r="N34" s="51"/>
      <c r="O34" s="171" t="str">
        <f t="shared" si="0"/>
        <v/>
      </c>
      <c r="P34" s="51"/>
      <c r="Q34" s="51"/>
      <c r="R34" s="51"/>
      <c r="S34" s="51"/>
      <c r="T34" s="51"/>
      <c r="U34" s="171" t="str">
        <f>IF(AND($F34=1,P34="S"),IF(Q34=3,1,IF(Q34=2,0.6,IF(Q34=1,0.3,0))),"")</f>
        <v/>
      </c>
      <c r="V34" s="335"/>
      <c r="W34" s="335"/>
      <c r="X34" s="171" t="str">
        <f>IF($F34=1,IF(V34=3,1,IF(V34=2,0.6,IF(V34=1,0.3,0))),"")</f>
        <v/>
      </c>
      <c r="Y34" s="336" t="str">
        <f>IF(NOT(ISBLANK(D34)),IF(OR(ISNUMBER(I34),ISNUMBER(O34),ISNUMBER(U34),ISNUMBER(X34)),AVERAGE(I34,O34,U34,X34),0),"")</f>
        <v/>
      </c>
      <c r="Z34" s="329"/>
      <c r="AA34" s="337"/>
      <c r="AB34" s="337"/>
      <c r="AC34" s="337"/>
      <c r="AD34" s="337"/>
      <c r="AE34" s="337"/>
      <c r="AF34" s="337"/>
      <c r="AG34" s="338"/>
      <c r="AH34" s="243"/>
    </row>
    <row r="35" spans="1:175" ht="15.75" x14ac:dyDescent="0.25">
      <c r="A35" s="311">
        <v>8</v>
      </c>
      <c r="B35" s="161"/>
      <c r="C35" s="333"/>
      <c r="D35" s="334"/>
      <c r="E35" s="153"/>
      <c r="F35" s="164" t="str">
        <f t="shared" si="13"/>
        <v/>
      </c>
      <c r="G35" s="51"/>
      <c r="H35" s="51"/>
      <c r="I35" s="171" t="str">
        <f>IF(G35="S",IF(H35=3,1,IF(H35=2,0.6,IF(H35=1,0.3,0))),"")</f>
        <v/>
      </c>
      <c r="J35" s="51"/>
      <c r="K35" s="51"/>
      <c r="L35" s="51"/>
      <c r="M35" s="51"/>
      <c r="N35" s="51"/>
      <c r="O35" s="171" t="str">
        <f t="shared" si="0"/>
        <v/>
      </c>
      <c r="P35" s="51"/>
      <c r="Q35" s="51"/>
      <c r="R35" s="51"/>
      <c r="S35" s="51"/>
      <c r="T35" s="51"/>
      <c r="U35" s="171" t="str">
        <f>IF(AND($F35=1,P35="S"),IF(Q35=3,1,IF(Q35=2,0.6,IF(Q35=1,0.3,0))),"")</f>
        <v/>
      </c>
      <c r="V35" s="335"/>
      <c r="W35" s="335"/>
      <c r="X35" s="171" t="str">
        <f>IF($F35=1,IF(V35=3,1,IF(V35=2,0.6,IF(V35=1,0.3,0))),"")</f>
        <v/>
      </c>
      <c r="Y35" s="336" t="str">
        <f>IF(NOT(ISBLANK(D35)),IF(OR(ISNUMBER(I35),ISNUMBER(O35),ISNUMBER(U35),ISNUMBER(X35)),AVERAGE(I35,O35,U35,X35),0),"")</f>
        <v/>
      </c>
      <c r="Z35" s="329"/>
      <c r="AA35" s="337"/>
      <c r="AB35" s="337"/>
      <c r="AC35" s="337"/>
      <c r="AD35" s="337"/>
      <c r="AE35" s="337"/>
      <c r="AF35" s="337"/>
      <c r="AG35" s="338"/>
      <c r="AH35" s="243"/>
    </row>
    <row r="36" spans="1:175" ht="15.75" x14ac:dyDescent="0.25">
      <c r="A36" s="311">
        <v>8</v>
      </c>
      <c r="B36" s="161"/>
      <c r="C36" s="333"/>
      <c r="D36" s="334"/>
      <c r="E36" s="51"/>
      <c r="F36" s="164" t="str">
        <f t="shared" si="13"/>
        <v/>
      </c>
      <c r="G36" s="51"/>
      <c r="H36" s="51"/>
      <c r="I36" s="171" t="str">
        <f t="shared" ref="I36:I38" si="14">IF(G36="S",IF(H36=3,1,IF(H36=2,0.6,IF(H36=1,0.3,0))),"")</f>
        <v/>
      </c>
      <c r="J36" s="51"/>
      <c r="K36" s="51"/>
      <c r="L36" s="51"/>
      <c r="M36" s="51"/>
      <c r="N36" s="51"/>
      <c r="O36" s="171" t="str">
        <f t="shared" si="0"/>
        <v/>
      </c>
      <c r="P36" s="51"/>
      <c r="Q36" s="51"/>
      <c r="R36" s="51"/>
      <c r="S36" s="51"/>
      <c r="T36" s="51"/>
      <c r="U36" s="171" t="str">
        <f t="shared" ref="U36:U38" si="15">IF(AND($F36=1,P36="S"),IF(Q36=3,1,IF(Q36=2,0.6,IF(Q36=1,0.3,0))),"")</f>
        <v/>
      </c>
      <c r="V36" s="335"/>
      <c r="W36" s="335"/>
      <c r="X36" s="171" t="str">
        <f t="shared" ref="X36:X38" si="16">IF($F36=1,IF(V36=3,1,IF(V36=2,0.6,IF(V36=1,0.3,0))),"")</f>
        <v/>
      </c>
      <c r="Y36" s="336" t="str">
        <f t="shared" ref="Y36:Y38" si="17">IF(NOT(ISBLANK(D36)),IF(OR(ISNUMBER(I36),ISNUMBER(O36),ISNUMBER(U36),ISNUMBER(X36)),AVERAGE(I36,O36,U36,X36),0),"")</f>
        <v/>
      </c>
      <c r="Z36" s="329"/>
      <c r="AA36" s="337"/>
      <c r="AB36" s="337"/>
      <c r="AC36" s="337"/>
      <c r="AD36" s="337"/>
      <c r="AE36" s="337"/>
      <c r="AF36" s="337"/>
      <c r="AG36" s="338"/>
      <c r="AH36" s="243"/>
    </row>
    <row r="37" spans="1:175" ht="15.75" x14ac:dyDescent="0.25">
      <c r="A37" s="311">
        <v>8</v>
      </c>
      <c r="B37" s="161"/>
      <c r="C37" s="333"/>
      <c r="D37" s="334"/>
      <c r="E37" s="51"/>
      <c r="F37" s="164" t="str">
        <f t="shared" si="13"/>
        <v/>
      </c>
      <c r="G37" s="51"/>
      <c r="H37" s="51"/>
      <c r="I37" s="171" t="str">
        <f t="shared" si="14"/>
        <v/>
      </c>
      <c r="J37" s="51"/>
      <c r="K37" s="51"/>
      <c r="L37" s="51"/>
      <c r="M37" s="51"/>
      <c r="N37" s="51"/>
      <c r="O37" s="171" t="str">
        <f t="shared" si="0"/>
        <v/>
      </c>
      <c r="P37" s="51"/>
      <c r="Q37" s="51"/>
      <c r="R37" s="51"/>
      <c r="S37" s="51"/>
      <c r="T37" s="51"/>
      <c r="U37" s="171" t="str">
        <f t="shared" si="15"/>
        <v/>
      </c>
      <c r="V37" s="335"/>
      <c r="W37" s="335"/>
      <c r="X37" s="171" t="str">
        <f t="shared" si="16"/>
        <v/>
      </c>
      <c r="Y37" s="336" t="str">
        <f t="shared" si="17"/>
        <v/>
      </c>
      <c r="Z37" s="329"/>
      <c r="AA37" s="337"/>
      <c r="AB37" s="337"/>
      <c r="AC37" s="337"/>
      <c r="AD37" s="337"/>
      <c r="AE37" s="337"/>
      <c r="AF37" s="337"/>
      <c r="AG37" s="338"/>
      <c r="AH37" s="243"/>
    </row>
    <row r="38" spans="1:175" ht="15.75" x14ac:dyDescent="0.25">
      <c r="A38" s="311">
        <v>8</v>
      </c>
      <c r="B38" s="161"/>
      <c r="C38" s="333"/>
      <c r="D38" s="334"/>
      <c r="E38" s="153"/>
      <c r="F38" s="164" t="str">
        <f t="shared" si="13"/>
        <v/>
      </c>
      <c r="G38" s="51"/>
      <c r="H38" s="51"/>
      <c r="I38" s="171" t="str">
        <f t="shared" si="14"/>
        <v/>
      </c>
      <c r="J38" s="51"/>
      <c r="K38" s="51"/>
      <c r="L38" s="51"/>
      <c r="M38" s="51"/>
      <c r="N38" s="51"/>
      <c r="O38" s="171" t="str">
        <f t="shared" si="0"/>
        <v/>
      </c>
      <c r="P38" s="51"/>
      <c r="Q38" s="51"/>
      <c r="R38" s="51"/>
      <c r="S38" s="51"/>
      <c r="T38" s="51"/>
      <c r="U38" s="171" t="str">
        <f t="shared" si="15"/>
        <v/>
      </c>
      <c r="V38" s="335"/>
      <c r="W38" s="335"/>
      <c r="X38" s="171" t="str">
        <f t="shared" si="16"/>
        <v/>
      </c>
      <c r="Y38" s="336" t="str">
        <f t="shared" si="17"/>
        <v/>
      </c>
      <c r="Z38" s="329"/>
      <c r="AA38" s="337"/>
      <c r="AB38" s="337"/>
      <c r="AC38" s="337"/>
      <c r="AD38" s="337"/>
      <c r="AE38" s="337"/>
      <c r="AF38" s="337"/>
      <c r="AG38" s="338"/>
      <c r="AH38" s="243"/>
    </row>
    <row r="39" spans="1:175" ht="6.6" customHeight="1" x14ac:dyDescent="0.25">
      <c r="A39" s="339"/>
      <c r="B39" s="149"/>
      <c r="C39" s="326"/>
      <c r="D39" s="326"/>
      <c r="E39" s="150"/>
      <c r="F39" s="340"/>
      <c r="G39" s="162"/>
      <c r="H39" s="162"/>
      <c r="I39" s="171" t="str">
        <f t="shared" si="2"/>
        <v/>
      </c>
      <c r="J39" s="162"/>
      <c r="K39" s="162"/>
      <c r="L39" s="163"/>
      <c r="M39" s="162"/>
      <c r="N39" s="162"/>
      <c r="O39" s="171" t="str">
        <f t="shared" si="0"/>
        <v/>
      </c>
      <c r="P39" s="150"/>
      <c r="Q39" s="150"/>
      <c r="R39" s="150"/>
      <c r="S39" s="150"/>
      <c r="T39" s="150"/>
      <c r="U39" s="171" t="str">
        <f t="shared" si="3"/>
        <v/>
      </c>
      <c r="V39" s="150"/>
      <c r="W39" s="150"/>
      <c r="X39" s="171" t="str">
        <f t="shared" si="4"/>
        <v/>
      </c>
      <c r="Y39" s="330"/>
      <c r="Z39" s="329"/>
      <c r="AA39" s="330"/>
      <c r="AB39" s="330"/>
      <c r="AC39" s="330"/>
      <c r="AD39" s="330"/>
      <c r="AE39" s="330"/>
      <c r="AF39" s="330"/>
      <c r="AG39" s="332"/>
      <c r="AH39" s="243"/>
    </row>
    <row r="40" spans="1:175" ht="15.95" customHeight="1" x14ac:dyDescent="0.25">
      <c r="A40" s="339"/>
      <c r="B40" s="188">
        <f>'Quadro Geral'!D37</f>
        <v>7</v>
      </c>
      <c r="C40" s="186" t="s">
        <v>839</v>
      </c>
      <c r="D40" s="187"/>
      <c r="E40" s="180"/>
      <c r="F40" s="341"/>
      <c r="G40" s="180"/>
      <c r="H40" s="181"/>
      <c r="I40" s="342"/>
      <c r="J40" s="180"/>
      <c r="K40" s="180"/>
      <c r="L40" s="201" t="s">
        <v>840</v>
      </c>
      <c r="M40" s="165">
        <f>COUNTIFS($D9:$D39,"*",$F9:$F39,"1",M9:M39,"S")</f>
        <v>0</v>
      </c>
      <c r="N40" s="165">
        <f>COUNTIFS($D9:$D39,"*",$F9:$F39,"1",N9:N39,"S")</f>
        <v>0</v>
      </c>
      <c r="O40" s="182" t="str">
        <f t="shared" si="0"/>
        <v/>
      </c>
      <c r="P40" s="180"/>
      <c r="Q40" s="180"/>
      <c r="R40" s="180"/>
      <c r="S40" s="180"/>
      <c r="T40" s="180"/>
      <c r="U40" s="343"/>
      <c r="V40" s="748" t="s">
        <v>841</v>
      </c>
      <c r="W40" s="748"/>
      <c r="X40" s="344"/>
      <c r="Y40" s="336">
        <f>IF(COUNTIFS(D9:D39,"*",$F9:$F39,"1")&gt;0,SUMIFS($Y9:$Y39,D9:D39,"*",$F9:$F39,"1")/COUNTIFS(D9:D39,"*",$F9:$F39,"1"),0)</f>
        <v>0</v>
      </c>
      <c r="Z40" s="344"/>
      <c r="AA40" s="243"/>
      <c r="AB40" s="243"/>
      <c r="AC40" s="243"/>
      <c r="AD40" s="243"/>
      <c r="AE40" s="243"/>
      <c r="AF40" s="243"/>
      <c r="AG40" s="243"/>
      <c r="AH40" s="243"/>
    </row>
    <row r="41" spans="1:175" ht="15.95" customHeight="1" x14ac:dyDescent="0.25">
      <c r="A41" s="339"/>
      <c r="B41" s="189">
        <f>IF(OR(Capa!$B$6="B",Capa!$B$6=1),(Y40*70+Y41*30)/100,
        IF(OR(Capa!$B$6=2,Capa!$B$6=3),((Y40*60+Y41*30)/100)+
                                                                IF(AND(Capa!$B$6=2,M40&gt;0),0.1,0)+
                                                                IF(AND(Capa!$B$6=3,M40&gt;0),0.05,0)+
                                                                IF(AND(Capa!$B$6=3,N40&gt;0),0.05,0),0))</f>
        <v>0</v>
      </c>
      <c r="C41" s="749" t="s">
        <v>842</v>
      </c>
      <c r="D41" s="750"/>
      <c r="E41" s="176"/>
      <c r="F41" s="341"/>
      <c r="G41" s="176"/>
      <c r="H41" s="177"/>
      <c r="I41" s="345"/>
      <c r="J41" s="176"/>
      <c r="K41" s="176"/>
      <c r="L41" s="184"/>
      <c r="M41" s="185"/>
      <c r="N41" s="185"/>
      <c r="O41" s="179"/>
      <c r="P41" s="176"/>
      <c r="Q41" s="176"/>
      <c r="R41" s="176"/>
      <c r="S41" s="176"/>
      <c r="T41" s="176"/>
      <c r="U41" s="343"/>
      <c r="V41" s="748" t="s">
        <v>843</v>
      </c>
      <c r="W41" s="748"/>
      <c r="X41" s="344"/>
      <c r="Y41" s="336">
        <f>IF(COUNTIFS(D9:D39,"*",$F9:$F39,"&lt;&gt;1")&gt;0,SUMIFS($Y9:$Y39,D9:D39,"*",$F9:$F39,"&lt;&gt;1")/COUNTIFS(D9:D39,"*",$F9:$F39,"&lt;&gt;1"),0)</f>
        <v>0</v>
      </c>
      <c r="Z41" s="344"/>
      <c r="AA41" s="243"/>
      <c r="AB41" s="243"/>
      <c r="AC41" s="243"/>
      <c r="AD41" s="243"/>
      <c r="AE41" s="243"/>
      <c r="AF41" s="243"/>
      <c r="AG41" s="243"/>
      <c r="AH41" s="243"/>
    </row>
    <row r="42" spans="1:175" ht="15.6" customHeight="1" x14ac:dyDescent="0.25">
      <c r="A42" s="339"/>
      <c r="B42" s="190">
        <f>'Quadro Geral'!F37</f>
        <v>0</v>
      </c>
      <c r="C42" s="186" t="s">
        <v>844</v>
      </c>
      <c r="D42" s="346"/>
      <c r="E42" s="176"/>
      <c r="F42" s="341"/>
      <c r="G42" s="176"/>
      <c r="H42" s="177"/>
      <c r="I42" s="345"/>
      <c r="J42" s="176"/>
      <c r="K42" s="177"/>
      <c r="L42" s="178"/>
      <c r="M42" s="176"/>
      <c r="N42" s="176"/>
      <c r="O42" s="179" t="str">
        <f t="shared" si="0"/>
        <v/>
      </c>
      <c r="P42" s="176"/>
      <c r="Q42" s="177"/>
      <c r="R42" s="176"/>
      <c r="S42" s="176"/>
      <c r="T42" s="176"/>
      <c r="U42" s="343"/>
      <c r="V42" s="243"/>
      <c r="W42" s="243"/>
      <c r="X42" s="243"/>
      <c r="Y42" s="243"/>
      <c r="Z42" s="344"/>
      <c r="AA42" s="243"/>
      <c r="AB42" s="243"/>
      <c r="AC42" s="243"/>
      <c r="AD42" s="243"/>
      <c r="AE42" s="243"/>
      <c r="AF42" s="243"/>
      <c r="AG42" s="243"/>
      <c r="AH42" s="243"/>
    </row>
    <row r="43" spans="1:175" ht="15.6" customHeight="1" x14ac:dyDescent="0.25">
      <c r="A43" s="339"/>
      <c r="E43" s="176"/>
      <c r="F43" s="341"/>
      <c r="G43" s="176"/>
      <c r="H43" s="177"/>
      <c r="I43" s="345"/>
      <c r="J43" s="176"/>
      <c r="K43" s="177"/>
      <c r="L43" s="178"/>
      <c r="M43" s="176"/>
      <c r="N43" s="176"/>
      <c r="O43" s="179" t="str">
        <f t="shared" si="0"/>
        <v/>
      </c>
      <c r="P43" s="176"/>
      <c r="Q43" s="177"/>
      <c r="R43" s="176"/>
      <c r="S43" s="176"/>
      <c r="T43" s="176"/>
      <c r="U43" s="343"/>
      <c r="V43" s="176"/>
      <c r="W43" s="176"/>
      <c r="X43" s="176"/>
      <c r="Y43" s="176"/>
      <c r="Z43" s="344"/>
      <c r="AA43" s="243"/>
      <c r="AB43" s="243"/>
      <c r="AC43" s="243"/>
      <c r="AD43" s="243"/>
      <c r="AE43" s="243"/>
      <c r="AF43" s="243"/>
      <c r="AG43" s="243"/>
      <c r="AH43" s="243"/>
    </row>
    <row r="44" spans="1:175" ht="6.6" customHeight="1" x14ac:dyDescent="0.25">
      <c r="A44" s="339"/>
      <c r="B44" s="183"/>
      <c r="C44" s="347"/>
      <c r="D44" s="348"/>
      <c r="E44" s="154"/>
      <c r="F44" s="349"/>
      <c r="G44" s="154"/>
      <c r="H44" s="154"/>
      <c r="I44" s="349"/>
      <c r="J44" s="154"/>
      <c r="K44" s="154"/>
      <c r="L44" s="154"/>
      <c r="M44" s="154"/>
      <c r="N44" s="154"/>
      <c r="O44" s="349"/>
      <c r="P44" s="154"/>
      <c r="Q44" s="154"/>
      <c r="R44" s="154"/>
      <c r="S44" s="154"/>
      <c r="T44" s="154"/>
      <c r="U44" s="341"/>
      <c r="V44" s="341"/>
      <c r="W44" s="341"/>
      <c r="X44" s="341"/>
      <c r="Y44" s="341"/>
      <c r="Z44" s="341"/>
      <c r="AA44" s="350"/>
      <c r="AB44" s="350"/>
      <c r="AC44" s="350"/>
      <c r="AD44" s="350"/>
      <c r="AE44" s="350"/>
      <c r="AF44" s="350"/>
      <c r="AG44" s="350"/>
      <c r="AH44" s="243"/>
    </row>
    <row r="45" spans="1:175" ht="22.5" customHeight="1" x14ac:dyDescent="0.25">
      <c r="A45" s="244"/>
      <c r="B45" s="155" t="s">
        <v>845</v>
      </c>
      <c r="C45" s="156"/>
      <c r="D45" s="156"/>
      <c r="E45" s="156"/>
      <c r="F45" s="156"/>
      <c r="G45" s="156"/>
      <c r="H45" s="156"/>
      <c r="I45" s="156"/>
      <c r="J45" s="156"/>
      <c r="K45" s="156"/>
      <c r="L45" s="156"/>
      <c r="M45" s="156"/>
      <c r="N45" s="156"/>
      <c r="O45" s="156"/>
      <c r="P45" s="156"/>
      <c r="Q45" s="156"/>
      <c r="R45" s="156"/>
      <c r="S45" s="156"/>
      <c r="T45" s="157"/>
      <c r="U45" s="244"/>
      <c r="V45" s="244"/>
      <c r="W45" s="244"/>
      <c r="X45" s="244"/>
      <c r="Y45" s="244"/>
      <c r="Z45" s="244"/>
      <c r="AA45" s="243"/>
      <c r="AB45" s="243"/>
      <c r="AC45" s="243"/>
      <c r="AD45" s="243"/>
      <c r="AE45" s="243"/>
      <c r="AF45" s="243"/>
      <c r="AG45" s="243"/>
      <c r="AH45" s="243"/>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row>
    <row r="46" spans="1:175" s="214" customFormat="1" x14ac:dyDescent="0.25">
      <c r="A46" s="243"/>
      <c r="B46" s="351"/>
      <c r="C46" s="742"/>
      <c r="D46" s="743"/>
      <c r="E46" s="743"/>
      <c r="F46" s="743"/>
      <c r="G46" s="743"/>
      <c r="H46" s="743"/>
      <c r="I46" s="743"/>
      <c r="J46" s="743"/>
      <c r="K46" s="743"/>
      <c r="L46" s="743"/>
      <c r="M46" s="743"/>
      <c r="N46" s="743"/>
      <c r="O46" s="743"/>
      <c r="P46" s="743"/>
      <c r="Q46" s="743"/>
      <c r="R46" s="743"/>
      <c r="S46" s="743"/>
      <c r="T46" s="744"/>
      <c r="U46" s="243"/>
      <c r="V46" s="243"/>
      <c r="W46" s="243"/>
      <c r="X46" s="243"/>
      <c r="Y46" s="243"/>
      <c r="Z46" s="243"/>
      <c r="AA46" s="243"/>
      <c r="AB46" s="243"/>
      <c r="AC46" s="243"/>
      <c r="AD46" s="243"/>
      <c r="AE46" s="243"/>
      <c r="AF46" s="243"/>
      <c r="AG46" s="243"/>
      <c r="AH46" s="243"/>
    </row>
    <row r="47" spans="1:175" s="214" customFormat="1" x14ac:dyDescent="0.25">
      <c r="A47" s="243"/>
      <c r="B47" s="351"/>
      <c r="C47" s="742"/>
      <c r="D47" s="743"/>
      <c r="E47" s="743"/>
      <c r="F47" s="743"/>
      <c r="G47" s="743"/>
      <c r="H47" s="743"/>
      <c r="I47" s="743"/>
      <c r="J47" s="743"/>
      <c r="K47" s="743"/>
      <c r="L47" s="743"/>
      <c r="M47" s="743"/>
      <c r="N47" s="743"/>
      <c r="O47" s="743"/>
      <c r="P47" s="743"/>
      <c r="Q47" s="743"/>
      <c r="R47" s="743"/>
      <c r="S47" s="743"/>
      <c r="T47" s="744"/>
      <c r="U47" s="243"/>
      <c r="V47" s="243"/>
      <c r="W47" s="243"/>
      <c r="X47" s="243"/>
      <c r="Y47" s="243"/>
      <c r="Z47" s="243"/>
      <c r="AA47" s="243"/>
      <c r="AB47" s="243"/>
      <c r="AC47" s="243"/>
      <c r="AD47" s="243"/>
      <c r="AE47" s="243"/>
      <c r="AF47" s="243"/>
      <c r="AG47" s="243"/>
      <c r="AH47" s="243"/>
    </row>
    <row r="48" spans="1:175" s="214" customFormat="1" x14ac:dyDescent="0.25">
      <c r="A48" s="243"/>
      <c r="B48" s="351"/>
      <c r="C48" s="742"/>
      <c r="D48" s="743"/>
      <c r="E48" s="743"/>
      <c r="F48" s="743"/>
      <c r="G48" s="743"/>
      <c r="H48" s="743"/>
      <c r="I48" s="743"/>
      <c r="J48" s="743"/>
      <c r="K48" s="743"/>
      <c r="L48" s="743"/>
      <c r="M48" s="743"/>
      <c r="N48" s="743"/>
      <c r="O48" s="743"/>
      <c r="P48" s="743"/>
      <c r="Q48" s="743"/>
      <c r="R48" s="743"/>
      <c r="S48" s="743"/>
      <c r="T48" s="744"/>
      <c r="U48" s="243"/>
      <c r="V48" s="243"/>
      <c r="W48" s="243"/>
      <c r="X48" s="243"/>
      <c r="Y48" s="243"/>
      <c r="Z48" s="243"/>
      <c r="AA48" s="243"/>
      <c r="AB48" s="243"/>
      <c r="AC48" s="243"/>
      <c r="AD48" s="243"/>
      <c r="AE48" s="243"/>
      <c r="AF48" s="243"/>
      <c r="AG48" s="243"/>
      <c r="AH48" s="243"/>
    </row>
    <row r="49" spans="1:34" s="214" customFormat="1" x14ac:dyDescent="0.25">
      <c r="A49" s="243"/>
      <c r="B49" s="351"/>
      <c r="C49" s="742"/>
      <c r="D49" s="743"/>
      <c r="E49" s="743"/>
      <c r="F49" s="743"/>
      <c r="G49" s="743"/>
      <c r="H49" s="743"/>
      <c r="I49" s="743"/>
      <c r="J49" s="743"/>
      <c r="K49" s="743"/>
      <c r="L49" s="743"/>
      <c r="M49" s="743"/>
      <c r="N49" s="743"/>
      <c r="O49" s="743"/>
      <c r="P49" s="743"/>
      <c r="Q49" s="743"/>
      <c r="R49" s="743"/>
      <c r="S49" s="743"/>
      <c r="T49" s="744"/>
      <c r="U49" s="243"/>
      <c r="V49" s="243"/>
      <c r="W49" s="243"/>
      <c r="X49" s="243"/>
      <c r="Y49" s="243"/>
      <c r="Z49" s="243"/>
      <c r="AA49" s="243"/>
      <c r="AB49" s="243"/>
      <c r="AC49" s="243"/>
      <c r="AD49" s="243"/>
      <c r="AE49" s="243"/>
      <c r="AF49" s="243"/>
      <c r="AG49" s="243"/>
      <c r="AH49" s="243"/>
    </row>
    <row r="50" spans="1:34" s="214" customFormat="1" x14ac:dyDescent="0.25">
      <c r="B50" s="158"/>
      <c r="C50" s="158"/>
    </row>
    <row r="51" spans="1:34" s="214" customFormat="1" x14ac:dyDescent="0.25">
      <c r="B51" s="158"/>
      <c r="C51" s="158"/>
    </row>
    <row r="52" spans="1:34" s="214" customFormat="1" x14ac:dyDescent="0.25">
      <c r="B52" s="158"/>
      <c r="C52" s="158"/>
    </row>
    <row r="53" spans="1:34" s="214" customFormat="1" x14ac:dyDescent="0.25">
      <c r="B53" s="158"/>
      <c r="C53" s="158"/>
    </row>
    <row r="54" spans="1:34" s="214" customFormat="1" x14ac:dyDescent="0.25">
      <c r="B54" s="158"/>
      <c r="C54" s="158"/>
    </row>
    <row r="55" spans="1:34" s="214" customFormat="1" x14ac:dyDescent="0.25">
      <c r="B55" s="158"/>
      <c r="C55" s="158"/>
    </row>
    <row r="56" spans="1:34" s="214" customFormat="1" x14ac:dyDescent="0.25">
      <c r="B56" s="158"/>
      <c r="C56" s="158"/>
    </row>
    <row r="57" spans="1:34" s="214" customFormat="1" x14ac:dyDescent="0.25">
      <c r="B57" s="158"/>
      <c r="C57" s="158"/>
    </row>
    <row r="58" spans="1:34" s="214" customFormat="1" x14ac:dyDescent="0.25">
      <c r="B58" s="158"/>
      <c r="C58" s="158"/>
    </row>
    <row r="59" spans="1:34" s="214" customFormat="1" x14ac:dyDescent="0.25">
      <c r="B59" s="158"/>
      <c r="C59" s="158"/>
    </row>
    <row r="60" spans="1:34" s="214" customFormat="1" x14ac:dyDescent="0.25">
      <c r="B60" s="158"/>
      <c r="C60" s="158"/>
    </row>
    <row r="61" spans="1:34" s="214" customFormat="1" x14ac:dyDescent="0.25">
      <c r="B61" s="158"/>
      <c r="C61" s="158"/>
    </row>
    <row r="62" spans="1:34" s="214" customFormat="1" x14ac:dyDescent="0.25">
      <c r="B62" s="158"/>
      <c r="C62" s="158"/>
    </row>
    <row r="63" spans="1:34" s="214" customFormat="1" x14ac:dyDescent="0.25">
      <c r="B63" s="158"/>
      <c r="C63" s="158"/>
    </row>
    <row r="64" spans="1:34" s="214" customFormat="1" x14ac:dyDescent="0.25">
      <c r="B64" s="158"/>
      <c r="C64" s="158"/>
    </row>
    <row r="65" spans="2:3" s="214" customFormat="1" x14ac:dyDescent="0.25">
      <c r="B65" s="158"/>
      <c r="C65" s="158"/>
    </row>
    <row r="66" spans="2:3" s="214" customFormat="1" x14ac:dyDescent="0.25">
      <c r="B66" s="158"/>
      <c r="C66" s="158"/>
    </row>
    <row r="67" spans="2:3" s="214" customFormat="1" x14ac:dyDescent="0.25">
      <c r="B67" s="158"/>
      <c r="C67" s="158"/>
    </row>
    <row r="68" spans="2:3" s="214" customFormat="1" x14ac:dyDescent="0.25">
      <c r="B68" s="158"/>
      <c r="C68" s="158"/>
    </row>
    <row r="69" spans="2:3" s="214" customFormat="1" x14ac:dyDescent="0.25">
      <c r="B69" s="158"/>
      <c r="C69" s="158"/>
    </row>
    <row r="70" spans="2:3" s="214" customFormat="1" x14ac:dyDescent="0.25">
      <c r="B70" s="158"/>
      <c r="C70" s="158"/>
    </row>
    <row r="71" spans="2:3" s="214" customFormat="1" x14ac:dyDescent="0.25">
      <c r="B71" s="158"/>
      <c r="C71" s="158"/>
    </row>
    <row r="72" spans="2:3" s="214" customFormat="1" x14ac:dyDescent="0.25">
      <c r="B72" s="158"/>
      <c r="C72" s="158"/>
    </row>
    <row r="73" spans="2:3" s="214" customFormat="1" x14ac:dyDescent="0.25">
      <c r="B73" s="158"/>
      <c r="C73" s="158"/>
    </row>
    <row r="74" spans="2:3" s="214" customFormat="1" x14ac:dyDescent="0.25">
      <c r="B74" s="158"/>
      <c r="C74" s="158"/>
    </row>
    <row r="75" spans="2:3" s="214" customFormat="1" x14ac:dyDescent="0.25">
      <c r="B75" s="158"/>
      <c r="C75" s="158"/>
    </row>
    <row r="76" spans="2:3" s="214" customFormat="1" x14ac:dyDescent="0.25">
      <c r="B76" s="158"/>
      <c r="C76" s="158"/>
    </row>
    <row r="77" spans="2:3" s="214" customFormat="1" x14ac:dyDescent="0.25">
      <c r="B77" s="158"/>
      <c r="C77" s="158"/>
    </row>
    <row r="78" spans="2:3" s="214" customFormat="1" x14ac:dyDescent="0.25">
      <c r="B78" s="158"/>
      <c r="C78" s="158"/>
    </row>
    <row r="79" spans="2:3" s="214" customFormat="1" x14ac:dyDescent="0.25">
      <c r="B79" s="158"/>
      <c r="C79" s="158"/>
    </row>
    <row r="80" spans="2:3" s="214" customFormat="1" x14ac:dyDescent="0.25">
      <c r="B80" s="158"/>
      <c r="C80" s="158"/>
    </row>
    <row r="81" spans="2:3" s="214" customFormat="1" x14ac:dyDescent="0.25">
      <c r="B81" s="158"/>
      <c r="C81" s="158"/>
    </row>
    <row r="82" spans="2:3" s="214" customFormat="1" x14ac:dyDescent="0.25">
      <c r="B82" s="158"/>
      <c r="C82" s="158"/>
    </row>
    <row r="83" spans="2:3" s="214" customFormat="1" x14ac:dyDescent="0.25">
      <c r="B83" s="158"/>
      <c r="C83" s="158"/>
    </row>
    <row r="84" spans="2:3" s="214" customFormat="1" x14ac:dyDescent="0.25">
      <c r="B84" s="158"/>
      <c r="C84" s="158"/>
    </row>
    <row r="85" spans="2:3" s="214" customFormat="1" x14ac:dyDescent="0.25">
      <c r="B85" s="158"/>
      <c r="C85" s="158"/>
    </row>
    <row r="86" spans="2:3" s="214" customFormat="1" x14ac:dyDescent="0.25">
      <c r="B86" s="158"/>
      <c r="C86" s="158"/>
    </row>
    <row r="87" spans="2:3" s="214" customFormat="1" x14ac:dyDescent="0.25">
      <c r="B87" s="158"/>
      <c r="C87" s="158"/>
    </row>
    <row r="88" spans="2:3" s="214" customFormat="1" x14ac:dyDescent="0.25">
      <c r="B88" s="158"/>
      <c r="C88" s="158"/>
    </row>
    <row r="89" spans="2:3" s="214" customFormat="1" x14ac:dyDescent="0.25">
      <c r="B89" s="158"/>
      <c r="C89" s="158"/>
    </row>
    <row r="90" spans="2:3" s="214" customFormat="1" x14ac:dyDescent="0.25">
      <c r="B90" s="158"/>
      <c r="C90" s="158"/>
    </row>
    <row r="91" spans="2:3" s="214" customFormat="1" x14ac:dyDescent="0.25">
      <c r="B91" s="158"/>
      <c r="C91" s="158"/>
    </row>
    <row r="92" spans="2:3" s="214" customFormat="1" x14ac:dyDescent="0.25">
      <c r="B92" s="158"/>
      <c r="C92" s="158"/>
    </row>
    <row r="93" spans="2:3" s="214" customFormat="1" x14ac:dyDescent="0.25">
      <c r="B93" s="158"/>
      <c r="C93" s="158"/>
    </row>
    <row r="94" spans="2:3" s="214" customFormat="1" x14ac:dyDescent="0.25">
      <c r="B94" s="158"/>
      <c r="C94" s="158"/>
    </row>
    <row r="95" spans="2:3" s="214" customFormat="1" x14ac:dyDescent="0.25">
      <c r="B95" s="158"/>
      <c r="C95" s="158"/>
    </row>
    <row r="96" spans="2:3" s="214" customFormat="1" x14ac:dyDescent="0.25">
      <c r="B96" s="158"/>
      <c r="C96" s="158"/>
    </row>
    <row r="97" spans="2:3" s="214" customFormat="1" x14ac:dyDescent="0.25">
      <c r="B97" s="158"/>
      <c r="C97" s="158"/>
    </row>
    <row r="98" spans="2:3" s="214" customFormat="1" x14ac:dyDescent="0.25">
      <c r="B98" s="158"/>
      <c r="C98" s="158"/>
    </row>
    <row r="99" spans="2:3" s="214" customFormat="1" x14ac:dyDescent="0.25">
      <c r="B99" s="158"/>
      <c r="C99" s="158"/>
    </row>
    <row r="100" spans="2:3" s="214" customFormat="1" x14ac:dyDescent="0.25">
      <c r="B100" s="158"/>
      <c r="C100" s="158"/>
    </row>
    <row r="101" spans="2:3" s="214" customFormat="1" x14ac:dyDescent="0.25">
      <c r="B101" s="158"/>
      <c r="C101" s="158"/>
    </row>
    <row r="102" spans="2:3" s="214" customFormat="1" x14ac:dyDescent="0.25">
      <c r="B102" s="158"/>
      <c r="C102" s="158"/>
    </row>
    <row r="103" spans="2:3" s="214" customFormat="1" x14ac:dyDescent="0.25">
      <c r="B103" s="158"/>
      <c r="C103" s="158"/>
    </row>
    <row r="104" spans="2:3" s="214" customFormat="1" x14ac:dyDescent="0.25">
      <c r="B104" s="158"/>
      <c r="C104" s="158"/>
    </row>
    <row r="105" spans="2:3" s="214" customFormat="1" x14ac:dyDescent="0.25">
      <c r="B105" s="158"/>
      <c r="C105" s="158"/>
    </row>
  </sheetData>
  <sheetProtection algorithmName="SHA-512" hashValue="PaNXCBqzG3BRpneInTF1bAr2FGH/ne/9C+FT0bXyEdLiv0JdKsY1iDOX3hPAygq9cyhPyQCNPOXaYfO/GeOwFQ==" saltValue="WRKhMG0Qp6tSMJUmkrpj7A==" spinCount="100000" sheet="1" formatCells="0" formatColumns="0" formatRows="0"/>
  <mergeCells count="14">
    <mergeCell ref="G3:W3"/>
    <mergeCell ref="B4:D4"/>
    <mergeCell ref="G4:H4"/>
    <mergeCell ref="J4:N4"/>
    <mergeCell ref="P4:T4"/>
    <mergeCell ref="V4:W4"/>
    <mergeCell ref="C48:T48"/>
    <mergeCell ref="C49:T49"/>
    <mergeCell ref="AA4:AG4"/>
    <mergeCell ref="V40:W40"/>
    <mergeCell ref="C41:D41"/>
    <mergeCell ref="V41:W41"/>
    <mergeCell ref="C46:T46"/>
    <mergeCell ref="C47:T47"/>
  </mergeCells>
  <conditionalFormatting sqref="B4">
    <cfRule type="dataBar" priority="226">
      <dataBar>
        <cfvo type="num" val="0.1"/>
        <cfvo type="num" val="1"/>
        <color rgb="FF92D050"/>
      </dataBar>
      <extLst>
        <ext xmlns:x14="http://schemas.microsoft.com/office/spreadsheetml/2009/9/main" uri="{B025F937-C7B1-47D3-B67F-A62EFF666E3E}">
          <x14:id>{C310FF60-2F2D-48D6-9EC5-D2E1D5048188}</x14:id>
        </ext>
      </extLst>
    </cfRule>
  </conditionalFormatting>
  <conditionalFormatting sqref="H9:H38">
    <cfRule type="expression" dxfId="60" priority="1">
      <formula>AND($G9&lt;&gt;"S",NOT(ISBLANK($H9)))</formula>
    </cfRule>
  </conditionalFormatting>
  <conditionalFormatting sqref="J9:N38">
    <cfRule type="expression" dxfId="59" priority="13">
      <formula>$F9&lt;&gt;1</formula>
    </cfRule>
  </conditionalFormatting>
  <conditionalFormatting sqref="K11:N13">
    <cfRule type="expression" dxfId="58" priority="12">
      <formula>$F11&lt;&gt;1</formula>
    </cfRule>
  </conditionalFormatting>
  <conditionalFormatting sqref="P9:P10">
    <cfRule type="expression" dxfId="57" priority="97">
      <formula>$F9&lt;&gt;1</formula>
    </cfRule>
  </conditionalFormatting>
  <conditionalFormatting sqref="P14:P18">
    <cfRule type="expression" dxfId="56" priority="9">
      <formula>$F14&lt;&gt;1</formula>
    </cfRule>
  </conditionalFormatting>
  <conditionalFormatting sqref="P22:P29">
    <cfRule type="expression" dxfId="55" priority="51">
      <formula>$F22&lt;&gt;1</formula>
    </cfRule>
  </conditionalFormatting>
  <conditionalFormatting sqref="P33:P35">
    <cfRule type="expression" dxfId="54" priority="2">
      <formula>$F33&lt;&gt;1</formula>
    </cfRule>
  </conditionalFormatting>
  <conditionalFormatting sqref="P9:T38 K19:N21">
    <cfRule type="expression" dxfId="53" priority="6">
      <formula>$F9&lt;&gt;1</formula>
    </cfRule>
  </conditionalFormatting>
  <conditionalFormatting sqref="V10">
    <cfRule type="expression" dxfId="52" priority="213">
      <formula>$F10&lt;&gt;1</formula>
    </cfRule>
  </conditionalFormatting>
  <conditionalFormatting sqref="V15:V17 V23:V26">
    <cfRule type="expression" dxfId="51" priority="148">
      <formula>$F15&lt;&gt;1</formula>
    </cfRule>
  </conditionalFormatting>
  <conditionalFormatting sqref="V18">
    <cfRule type="expression" dxfId="50" priority="11">
      <formula>$F18&lt;&gt;1</formula>
    </cfRule>
  </conditionalFormatting>
  <conditionalFormatting sqref="V31:V32 V37:V38">
    <cfRule type="expression" dxfId="49" priority="112">
      <formula>$F31&lt;&gt;1</formula>
    </cfRule>
  </conditionalFormatting>
  <conditionalFormatting sqref="V9:W9">
    <cfRule type="expression" dxfId="48" priority="91">
      <formula>$F9&lt;&gt;1</formula>
    </cfRule>
  </conditionalFormatting>
  <conditionalFormatting sqref="V9:W38">
    <cfRule type="expression" dxfId="47" priority="90" stopIfTrue="1">
      <formula>AND($F9&lt;&gt;1,NOT(ISBLANK($V9)))</formula>
    </cfRule>
  </conditionalFormatting>
  <conditionalFormatting sqref="V11:W13">
    <cfRule type="expression" dxfId="46" priority="15" stopIfTrue="1">
      <formula>AND($F11&lt;&gt;1,NOT(ISBLANK($V11)))</formula>
    </cfRule>
    <cfRule type="expression" dxfId="45" priority="16">
      <formula>$F11&lt;&gt;1</formula>
    </cfRule>
  </conditionalFormatting>
  <conditionalFormatting sqref="V14:W14">
    <cfRule type="expression" dxfId="44" priority="189">
      <formula>$F14&lt;&gt;1</formula>
    </cfRule>
  </conditionalFormatting>
  <conditionalFormatting sqref="V19:W21">
    <cfRule type="expression" dxfId="43" priority="7" stopIfTrue="1">
      <formula>AND($F19&lt;&gt;1,NOT(ISBLANK($V19)))</formula>
    </cfRule>
  </conditionalFormatting>
  <conditionalFormatting sqref="V19:W22">
    <cfRule type="expression" dxfId="42" priority="8">
      <formula>$F19&lt;&gt;1</formula>
    </cfRule>
  </conditionalFormatting>
  <conditionalFormatting sqref="V27:W29">
    <cfRule type="expression" dxfId="41" priority="54" stopIfTrue="1">
      <formula>AND($F27&lt;&gt;1,NOT(ISBLANK($V27)))</formula>
    </cfRule>
    <cfRule type="expression" dxfId="40" priority="55">
      <formula>$F27&lt;&gt;1</formula>
    </cfRule>
  </conditionalFormatting>
  <conditionalFormatting sqref="V30:W30">
    <cfRule type="expression" dxfId="39" priority="126">
      <formula>$F30&lt;&gt;1</formula>
    </cfRule>
  </conditionalFormatting>
  <conditionalFormatting sqref="V33:W35">
    <cfRule type="expression" dxfId="38" priority="3" stopIfTrue="1">
      <formula>AND($F33&lt;&gt;1,NOT(ISBLANK($V33)))</formula>
    </cfRule>
  </conditionalFormatting>
  <conditionalFormatting sqref="V33:W36">
    <cfRule type="expression" dxfId="37" priority="4">
      <formula>$F33&lt;&gt;1</formula>
    </cfRule>
  </conditionalFormatting>
  <conditionalFormatting sqref="W10:W38">
    <cfRule type="expression" dxfId="36" priority="102">
      <formula>$F10&lt;&gt;1</formula>
    </cfRule>
  </conditionalFormatting>
  <dataValidations disablePrompts="1" count="13">
    <dataValidation type="list" allowBlank="1" showInputMessage="1" showErrorMessage="1" promptTitle="Informe PF ou OM" prompt="Descreva o PF ou a OM à Direita" sqref="B46:B49" xr:uid="{00000000-0002-0000-0C00-000000000000}">
      <formula1>"PF,OM"</formula1>
    </dataValidation>
    <dataValidation allowBlank="1" showInputMessage="1" showErrorMessage="1" error="Opção inválida" sqref="T9:T38" xr:uid="{00000000-0002-0000-0C00-000001000000}"/>
    <dataValidation type="list" allowBlank="1" showInputMessage="1" showErrorMessage="1" error="Opção inválida" promptTitle="Há padrão suficiente" sqref="P8 P39 E35 E29 E38 E32 E21 E13" xr:uid="{00000000-0002-0000-0C00-000002000000}">
      <formula1>"S,N,s,n,NS,ns"</formula1>
    </dataValidation>
    <dataValidation type="list" allowBlank="1" showInputMessage="1" showErrorMessage="1" error="Opção inválida" sqref="T8 V8:W8 V39:W39 T39 S44:T44 S8:S39" xr:uid="{00000000-0002-0000-0C00-000003000000}">
      <formula1>"MT,EF,mt,ef"</formula1>
    </dataValidation>
    <dataValidation type="list" allowBlank="1" showInputMessage="1" showErrorMessage="1" promptTitle="Bom quando" prompt="&quot;+&quot; Aumentar_x000a_&quot;=&quot; Manter _x000a_&quot;-&quot;  Diminuir" sqref="AA9:AA38" xr:uid="{00000000-0002-0000-0C00-000004000000}">
      <formula1>"+,=,-"</formula1>
    </dataValidation>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AD18" xr:uid="{00000000-0002-0000-0C00-000005000000}"/>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AE18" xr:uid="{00000000-0002-0000-0C00-000006000000}"/>
    <dataValidation type="list" allowBlank="1" showInputMessage="1" showErrorMessage="1" error="Opção inválida" promptTitle="Há padrão suficiente" sqref="Q44 Q8 K8 H39 K39 Q39 H8 M44:N44 H44 K44 M8:N39" xr:uid="{00000000-0002-0000-0C00-000007000000}">
      <formula1>"S,N,NS,s,n,ns"</formula1>
    </dataValidation>
    <dataValidation type="list" allowBlank="1" showInputMessage="1" showErrorMessage="1" error="Opção inválida" promptTitle="Há padrão suficiente" sqref="P44 J44 E39:E44 G44 E8 P9:P38 J8:J39 G8:G39" xr:uid="{00000000-0002-0000-0C00-000008000000}">
      <formula1>"S,N,s,n"</formula1>
    </dataValidation>
    <dataValidation type="list" allowBlank="1" showInputMessage="1" showErrorMessage="1" error="Opção inválida" promptTitle="Há padrão suficiente" sqref="K9:K38 H9:H38" xr:uid="{00000000-0002-0000-0C00-000009000000}">
      <formula1>"0,1,2,3"</formula1>
    </dataValidation>
    <dataValidation type="list" allowBlank="1" showInputMessage="1" showErrorMessage="1" error="Opção inválida! 0,1,2 ou 3." sqref="V9:V38" xr:uid="{00000000-0002-0000-0C00-00000A000000}">
      <formula1>"0,1,2,3"</formula1>
    </dataValidation>
    <dataValidation type="list" allowBlank="1" showInputMessage="1" showErrorMessage="1" error="Opção inválida! 0,1,2 ou 3" promptTitle="Há padrão suficiente" sqref="Q9:Q38" xr:uid="{00000000-0002-0000-0C00-00000B000000}">
      <formula1>"0,1,2,3"</formula1>
    </dataValidation>
    <dataValidation type="list" allowBlank="1" showInputMessage="1" showErrorMessage="1" error="Opção inválida!" sqref="E30:E31 E36:E37 E22:E28 E33:E34 E9:E12 E14:E20" xr:uid="{00000000-0002-0000-0C00-00000C000000}">
      <formula1>"N,E,O,G,n,e,o,g,NO,EO,no,eo,ON,OE,on,oe"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C310FF60-2F2D-48D6-9EC5-D2E1D5048188}">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4"/>
  <dimension ref="A1:FS158"/>
  <sheetViews>
    <sheetView zoomScaleNormal="100" workbookViewId="0">
      <pane xSplit="4" ySplit="8" topLeftCell="E9" activePane="bottomRight" state="frozen"/>
      <selection pane="topRight" activeCell="E1" sqref="E1"/>
      <selection pane="bottomLeft" activeCell="A9" sqref="A9"/>
      <selection pane="bottomRight" activeCell="B9" sqref="B9"/>
    </sheetView>
  </sheetViews>
  <sheetFormatPr defaultColWidth="8.85546875" defaultRowHeight="15" x14ac:dyDescent="0.25"/>
  <cols>
    <col min="1" max="1" width="1.85546875" style="215" customWidth="1"/>
    <col min="2" max="2" width="11.85546875" style="159" customWidth="1"/>
    <col min="3" max="3" width="11" style="159" customWidth="1"/>
    <col min="4" max="4" width="30.140625" style="215" customWidth="1"/>
    <col min="5" max="5" width="4.140625" style="215" customWidth="1"/>
    <col min="6" max="6" width="1.5703125" style="215" customWidth="1"/>
    <col min="7" max="7" width="7.85546875" style="215" customWidth="1"/>
    <col min="8" max="8" width="4.42578125" style="215" customWidth="1"/>
    <col min="9" max="9" width="1.85546875" style="215" customWidth="1"/>
    <col min="10" max="10" width="7.42578125" style="215" customWidth="1"/>
    <col min="11" max="11" width="3.85546875" style="215" customWidth="1"/>
    <col min="12" max="12" width="14.5703125" style="215" customWidth="1"/>
    <col min="13" max="13" width="4.5703125" style="215" customWidth="1"/>
    <col min="14" max="14" width="5.140625" style="215" customWidth="1"/>
    <col min="15" max="15" width="1.85546875" style="215" customWidth="1"/>
    <col min="16" max="16" width="4.140625" style="215" customWidth="1"/>
    <col min="17" max="17" width="3.85546875" style="215" customWidth="1"/>
    <col min="18" max="18" width="13.5703125" style="215" customWidth="1"/>
    <col min="19" max="19" width="10.42578125" style="215" customWidth="1"/>
    <col min="20" max="20" width="13.5703125" style="215" customWidth="1"/>
    <col min="21" max="21" width="1.85546875" style="215" customWidth="1"/>
    <col min="22" max="22" width="4.140625" style="215" customWidth="1"/>
    <col min="23" max="23" width="12.85546875" style="215" customWidth="1"/>
    <col min="24" max="24" width="1.85546875" style="215" customWidth="1"/>
    <col min="25" max="25" width="5.140625" style="215" customWidth="1"/>
    <col min="26" max="26" width="1.140625" style="215" customWidth="1"/>
    <col min="27" max="27" width="7.140625" style="214" customWidth="1"/>
    <col min="28" max="31" width="10.42578125" style="214" customWidth="1"/>
    <col min="32" max="32" width="27.5703125" style="214" customWidth="1"/>
    <col min="33" max="33" width="11.85546875" style="214" customWidth="1"/>
    <col min="34" max="34" width="2.140625" style="214" customWidth="1"/>
    <col min="35" max="175" width="8.85546875" style="214"/>
    <col min="176" max="16384" width="8.85546875" style="215"/>
  </cols>
  <sheetData>
    <row r="1" spans="1:175" ht="15.6" customHeight="1" x14ac:dyDescent="0.25">
      <c r="A1" s="244"/>
      <c r="B1" s="166"/>
      <c r="C1" s="212" t="str">
        <f>Capa!A1</f>
        <v xml:space="preserve">MEGplan®ESG </v>
      </c>
      <c r="D1" s="307"/>
      <c r="E1" s="308"/>
      <c r="F1" s="307"/>
      <c r="G1" s="307"/>
      <c r="H1" s="307"/>
      <c r="I1" s="307"/>
      <c r="J1" s="307"/>
      <c r="K1" s="307"/>
      <c r="L1" s="307"/>
      <c r="M1" s="307"/>
      <c r="N1" s="307"/>
      <c r="O1" s="307"/>
      <c r="P1" s="307"/>
      <c r="Q1" s="307"/>
      <c r="R1" s="307"/>
      <c r="S1" s="307"/>
      <c r="T1" s="307"/>
      <c r="U1" s="307"/>
      <c r="V1" s="307"/>
      <c r="W1" s="307"/>
      <c r="X1" s="307"/>
      <c r="Y1" s="307"/>
      <c r="Z1" s="307"/>
      <c r="AA1" s="309"/>
      <c r="AB1" s="309"/>
      <c r="AC1" s="309"/>
      <c r="AD1" s="309"/>
      <c r="AE1" s="309"/>
      <c r="AF1" s="309"/>
      <c r="AG1" s="309"/>
      <c r="AH1" s="309"/>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row>
    <row r="2" spans="1:175" ht="25.35" customHeight="1" x14ac:dyDescent="0.25">
      <c r="A2" s="244"/>
      <c r="B2" s="410" t="s">
        <v>850</v>
      </c>
      <c r="C2" s="202"/>
      <c r="D2" s="203"/>
      <c r="E2" s="244"/>
      <c r="F2" s="244"/>
      <c r="G2" s="244"/>
      <c r="H2" s="244"/>
      <c r="I2" s="244"/>
      <c r="J2" s="244"/>
      <c r="K2" s="244"/>
      <c r="L2" s="244"/>
      <c r="M2" s="244"/>
      <c r="N2" s="244"/>
      <c r="O2" s="244"/>
      <c r="P2" s="244"/>
      <c r="Q2" s="244"/>
      <c r="R2" s="244"/>
      <c r="S2" s="244"/>
      <c r="T2" s="244"/>
      <c r="U2" s="142"/>
      <c r="V2" s="142"/>
      <c r="W2" s="142"/>
      <c r="X2" s="142"/>
      <c r="Y2" s="142"/>
      <c r="Z2" s="142"/>
      <c r="AA2" s="243"/>
      <c r="AB2" s="243"/>
      <c r="AC2" s="243"/>
      <c r="AD2" s="243"/>
      <c r="AE2" s="243"/>
      <c r="AF2" s="243"/>
      <c r="AG2" s="243"/>
      <c r="AH2" s="243"/>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row>
    <row r="3" spans="1:175" ht="16.350000000000001" customHeight="1" x14ac:dyDescent="0.25">
      <c r="A3" s="244"/>
      <c r="B3" s="310"/>
      <c r="C3" s="310"/>
      <c r="D3" s="310"/>
      <c r="E3" s="310"/>
      <c r="F3" s="244"/>
      <c r="G3" s="735" t="s">
        <v>23</v>
      </c>
      <c r="H3" s="735"/>
      <c r="I3" s="735"/>
      <c r="J3" s="735"/>
      <c r="K3" s="735"/>
      <c r="L3" s="735"/>
      <c r="M3" s="735"/>
      <c r="N3" s="735"/>
      <c r="O3" s="735"/>
      <c r="P3" s="735"/>
      <c r="Q3" s="735"/>
      <c r="R3" s="735"/>
      <c r="S3" s="735"/>
      <c r="T3" s="735"/>
      <c r="U3" s="735"/>
      <c r="V3" s="735"/>
      <c r="W3" s="735"/>
      <c r="X3" s="142"/>
      <c r="Y3" s="142"/>
      <c r="Z3" s="142"/>
      <c r="AA3" s="243"/>
      <c r="AB3" s="243"/>
      <c r="AC3" s="243"/>
      <c r="AD3" s="243"/>
      <c r="AE3" s="243"/>
      <c r="AF3" s="243"/>
      <c r="AG3" s="243"/>
      <c r="AH3" s="243"/>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row>
    <row r="4" spans="1:175" ht="17.25" customHeight="1" x14ac:dyDescent="0.25">
      <c r="A4" s="423"/>
      <c r="B4" s="736">
        <f>IF(COUNTIF($D8:$D92,"*")&gt;0,(COUNTIFS($D8:$D92,"*",$F8:$F92,"1",V8:V92,"&gt;=0")+COUNTIFS($D8:$D92,"*",$F8:$F92,"&lt;&gt;1",E8:E92,"*"))/COUNTIF($D8:$D92,"*"),0)</f>
        <v>0</v>
      </c>
      <c r="C4" s="736"/>
      <c r="D4" s="736"/>
      <c r="E4" s="310"/>
      <c r="F4" s="244"/>
      <c r="G4" s="737" t="s">
        <v>808</v>
      </c>
      <c r="H4" s="738"/>
      <c r="I4" s="171" t="str">
        <f>IF(ISNUMBER(AVERAGE(I9:I92)),AVERAGE(I9:I92),"Sem")</f>
        <v>Sem</v>
      </c>
      <c r="J4" s="739" t="s">
        <v>809</v>
      </c>
      <c r="K4" s="739"/>
      <c r="L4" s="739"/>
      <c r="M4" s="739"/>
      <c r="N4" s="739"/>
      <c r="O4" s="171" t="str">
        <f>IF(ISNUMBER(AVERAGE(O9:O92)),AVERAGE(O9:O92),"Sem")</f>
        <v>Sem</v>
      </c>
      <c r="P4" s="739" t="s">
        <v>810</v>
      </c>
      <c r="Q4" s="739"/>
      <c r="R4" s="739"/>
      <c r="S4" s="739"/>
      <c r="T4" s="739"/>
      <c r="U4" s="171" t="str">
        <f>IF(ISNUMBER(AVERAGE(U9:U92)),AVERAGE(U9:U92),"Sem")</f>
        <v>Sem</v>
      </c>
      <c r="V4" s="740" t="s">
        <v>811</v>
      </c>
      <c r="W4" s="741"/>
      <c r="X4" s="207" t="str">
        <f>IF(ISNUMBER(AVERAGE(X9:X92)),AVERAGE(X9:X92),"Sem")</f>
        <v>Sem</v>
      </c>
      <c r="Y4" s="142"/>
      <c r="Z4" s="142"/>
      <c r="AA4" s="745" t="s">
        <v>812</v>
      </c>
      <c r="AB4" s="746"/>
      <c r="AC4" s="746"/>
      <c r="AD4" s="746"/>
      <c r="AE4" s="746"/>
      <c r="AF4" s="746"/>
      <c r="AG4" s="747"/>
      <c r="AH4" s="243"/>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175" ht="7.5" customHeight="1" x14ac:dyDescent="0.25">
      <c r="A5" s="312"/>
      <c r="B5" s="167"/>
      <c r="C5" s="168"/>
      <c r="D5" s="144"/>
      <c r="E5" s="169"/>
      <c r="F5" s="313"/>
      <c r="G5" s="169"/>
      <c r="H5" s="169"/>
      <c r="I5" s="313"/>
      <c r="J5" s="169"/>
      <c r="K5" s="169"/>
      <c r="L5" s="169"/>
      <c r="M5" s="169"/>
      <c r="N5" s="169"/>
      <c r="O5" s="313"/>
      <c r="P5" s="169"/>
      <c r="Q5" s="169"/>
      <c r="R5" s="169"/>
      <c r="S5" s="169"/>
      <c r="T5" s="170"/>
      <c r="U5" s="142"/>
      <c r="V5" s="142"/>
      <c r="W5" s="142"/>
      <c r="X5" s="142"/>
      <c r="Y5" s="142"/>
      <c r="Z5" s="142"/>
      <c r="AA5" s="243"/>
      <c r="AB5" s="243"/>
      <c r="AC5" s="243"/>
      <c r="AD5" s="243"/>
      <c r="AE5" s="243"/>
      <c r="AF5" s="243"/>
      <c r="AG5" s="243"/>
      <c r="AH5" s="243"/>
    </row>
    <row r="6" spans="1:175" s="146" customFormat="1" ht="64.7" customHeight="1" x14ac:dyDescent="0.25">
      <c r="A6" s="143"/>
      <c r="B6" s="436" t="s">
        <v>813</v>
      </c>
      <c r="C6" s="437" t="s">
        <v>814</v>
      </c>
      <c r="D6" s="446" t="s">
        <v>815</v>
      </c>
      <c r="E6" s="438" t="s">
        <v>816</v>
      </c>
      <c r="F6" s="314"/>
      <c r="G6" s="315" t="s">
        <v>817</v>
      </c>
      <c r="H6" s="316" t="s">
        <v>818</v>
      </c>
      <c r="I6" s="314"/>
      <c r="J6" s="315" t="s">
        <v>819</v>
      </c>
      <c r="K6" s="316" t="s">
        <v>820</v>
      </c>
      <c r="L6" s="317" t="s">
        <v>821</v>
      </c>
      <c r="M6" s="315" t="s">
        <v>822</v>
      </c>
      <c r="N6" s="315" t="s">
        <v>823</v>
      </c>
      <c r="O6" s="314"/>
      <c r="P6" s="315" t="s">
        <v>824</v>
      </c>
      <c r="Q6" s="316" t="s">
        <v>825</v>
      </c>
      <c r="R6" s="317" t="s">
        <v>826</v>
      </c>
      <c r="S6" s="315" t="s">
        <v>827</v>
      </c>
      <c r="T6" s="317" t="s">
        <v>828</v>
      </c>
      <c r="U6" s="318"/>
      <c r="V6" s="316" t="s">
        <v>829</v>
      </c>
      <c r="W6" s="317" t="s">
        <v>830</v>
      </c>
      <c r="X6" s="318"/>
      <c r="Y6" s="319" t="s">
        <v>831</v>
      </c>
      <c r="Z6" s="318"/>
      <c r="AA6" s="320" t="s">
        <v>832</v>
      </c>
      <c r="AB6" s="321" t="s">
        <v>833</v>
      </c>
      <c r="AC6" s="321" t="s">
        <v>834</v>
      </c>
      <c r="AD6" s="321" t="s">
        <v>835</v>
      </c>
      <c r="AE6" s="321" t="s">
        <v>836</v>
      </c>
      <c r="AF6" s="321" t="s">
        <v>837</v>
      </c>
      <c r="AG6" s="322" t="s">
        <v>838</v>
      </c>
      <c r="AH6" s="145"/>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row>
    <row r="7" spans="1:175" s="146" customFormat="1" ht="4.7" customHeight="1" x14ac:dyDescent="0.25">
      <c r="A7" s="143"/>
      <c r="B7" s="143"/>
      <c r="C7" s="147"/>
      <c r="D7" s="148"/>
      <c r="E7" s="323"/>
      <c r="F7" s="324"/>
      <c r="G7" s="323"/>
      <c r="H7" s="323"/>
      <c r="I7" s="324"/>
      <c r="J7" s="323"/>
      <c r="K7" s="323"/>
      <c r="L7" s="323"/>
      <c r="M7" s="323"/>
      <c r="N7" s="323"/>
      <c r="O7" s="313"/>
      <c r="P7" s="323"/>
      <c r="Q7" s="323"/>
      <c r="R7" s="323"/>
      <c r="S7" s="323"/>
      <c r="T7" s="323"/>
      <c r="U7" s="324"/>
      <c r="V7" s="324"/>
      <c r="W7" s="324"/>
      <c r="X7" s="324"/>
      <c r="Y7" s="324"/>
      <c r="Z7" s="324"/>
      <c r="AA7" s="145"/>
      <c r="AB7" s="145"/>
      <c r="AC7" s="145"/>
      <c r="AD7" s="145"/>
      <c r="AE7" s="145"/>
      <c r="AF7" s="145"/>
      <c r="AG7" s="145"/>
      <c r="AH7" s="145"/>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row>
    <row r="8" spans="1:175" ht="6.6" customHeight="1" x14ac:dyDescent="0.25">
      <c r="A8" s="325"/>
      <c r="B8" s="160"/>
      <c r="C8" s="326"/>
      <c r="D8" s="326"/>
      <c r="E8" s="150"/>
      <c r="F8" s="314"/>
      <c r="G8" s="150"/>
      <c r="H8" s="150"/>
      <c r="I8" s="327"/>
      <c r="J8" s="150"/>
      <c r="K8" s="150"/>
      <c r="L8" s="151"/>
      <c r="M8" s="150"/>
      <c r="N8" s="150"/>
      <c r="O8" s="327"/>
      <c r="P8" s="150"/>
      <c r="Q8" s="150"/>
      <c r="R8" s="150"/>
      <c r="S8" s="150"/>
      <c r="T8" s="150"/>
      <c r="U8" s="328"/>
      <c r="V8" s="150"/>
      <c r="W8" s="150"/>
      <c r="X8" s="329"/>
      <c r="Y8" s="152"/>
      <c r="Z8" s="329"/>
      <c r="AA8" s="175"/>
      <c r="AB8" s="330"/>
      <c r="AC8" s="330"/>
      <c r="AD8" s="330"/>
      <c r="AE8" s="330"/>
      <c r="AF8" s="331"/>
      <c r="AG8" s="332"/>
      <c r="AH8" s="243"/>
    </row>
    <row r="9" spans="1:175" ht="18.95" customHeight="1" x14ac:dyDescent="0.25">
      <c r="A9" s="311">
        <v>8</v>
      </c>
      <c r="B9" s="674"/>
      <c r="C9" s="675"/>
      <c r="D9" s="676"/>
      <c r="E9" s="677"/>
      <c r="F9" s="164" t="str">
        <f>IF(OR(ISNUMBER(SEARCH("N",$E9)),ISNUMBER(SEARCH("E",$E9))),1,"")</f>
        <v/>
      </c>
      <c r="G9" s="677"/>
      <c r="H9" s="51"/>
      <c r="I9" s="171" t="str">
        <f>IF(G9="S",IF(H9=3,1,IF(H9=2,0.6,IF(H9=1,0.3,0))),"")</f>
        <v/>
      </c>
      <c r="J9" s="51"/>
      <c r="K9" s="51"/>
      <c r="L9" s="51"/>
      <c r="M9" s="51"/>
      <c r="N9" s="51"/>
      <c r="O9" s="171" t="str">
        <f>IF(AND($F9=1,J9="S"),IF(K9=3,1,IF(K9=2,0.6,IF(K9=1,0.3,0))),"")</f>
        <v/>
      </c>
      <c r="P9" s="51"/>
      <c r="Q9" s="51"/>
      <c r="R9" s="51"/>
      <c r="S9" s="51"/>
      <c r="T9" s="51"/>
      <c r="U9" s="171" t="str">
        <f>IF(AND($F9=1,P9="S"),IF(Q9=3,1,IF(Q9=2,0.6,IF(Q9=1,0.3,0))),"")</f>
        <v/>
      </c>
      <c r="V9" s="335"/>
      <c r="W9" s="335"/>
      <c r="X9" s="171" t="str">
        <f>IF($F9=1,IF(V9=3,1,IF(V9=2,0.6,IF(V9=1,0.3,0))),"")</f>
        <v/>
      </c>
      <c r="Y9" s="336" t="str">
        <f>IF(NOT(ISBLANK(D9)),IF(OR(ISNUMBER(I9),ISNUMBER(O9),ISNUMBER(U9),ISNUMBER(X9)),AVERAGE(I9,O9,U9,X9),0),"")</f>
        <v/>
      </c>
      <c r="Z9" s="329"/>
      <c r="AA9" s="337"/>
      <c r="AB9" s="297"/>
      <c r="AC9" s="337"/>
      <c r="AD9" s="337"/>
      <c r="AE9" s="337"/>
      <c r="AF9" s="337"/>
      <c r="AG9" s="338"/>
      <c r="AH9" s="243"/>
    </row>
    <row r="10" spans="1:175" ht="20.85" customHeight="1" x14ac:dyDescent="0.25">
      <c r="A10" s="311">
        <v>8</v>
      </c>
      <c r="B10" s="674"/>
      <c r="C10" s="675"/>
      <c r="D10" s="676"/>
      <c r="E10" s="677"/>
      <c r="F10" s="164" t="str">
        <f t="shared" ref="F10:F71" si="0">IF(OR(ISNUMBER(SEARCH("N",$E10)),ISNUMBER(SEARCH("E",$E10))),1,"")</f>
        <v/>
      </c>
      <c r="G10" s="677"/>
      <c r="H10" s="51"/>
      <c r="I10" s="171" t="str">
        <f t="shared" ref="I10:I29" si="1">IF(G10="S",IF(H10=3,1,IF(H10=2,0.6,IF(H10=1,0.3,0))),"")</f>
        <v/>
      </c>
      <c r="J10" s="51"/>
      <c r="K10" s="51"/>
      <c r="L10" s="51"/>
      <c r="M10" s="51"/>
      <c r="N10" s="51"/>
      <c r="O10" s="171" t="str">
        <f t="shared" ref="O10:O71" si="2">IF(AND($F10=1,J10="S"),IF(K10=3,1,IF(K10=2,0.6,IF(K10=1,0.3,0))),"")</f>
        <v/>
      </c>
      <c r="P10" s="51"/>
      <c r="Q10" s="51"/>
      <c r="R10" s="51"/>
      <c r="S10" s="51"/>
      <c r="T10" s="51"/>
      <c r="U10" s="171" t="str">
        <f t="shared" ref="U10:U29" si="3">IF(AND($F10=1,P10="S"),IF(Q10=3,1,IF(Q10=2,0.6,IF(Q10=1,0.3,0))),"")</f>
        <v/>
      </c>
      <c r="V10" s="335"/>
      <c r="W10" s="335"/>
      <c r="X10" s="171" t="str">
        <f t="shared" ref="X10:X29" si="4">IF($F10=1,IF(V10=3,1,IF(V10=2,0.6,IF(V10=1,0.3,0))),"")</f>
        <v/>
      </c>
      <c r="Y10" s="336" t="str">
        <f t="shared" ref="Y10:Y29" si="5">IF(NOT(ISBLANK(D10)),IF(OR(ISNUMBER(I10),ISNUMBER(O10),ISNUMBER(U10),ISNUMBER(X10)),AVERAGE(I10,O10,U10,X10),0),"")</f>
        <v/>
      </c>
      <c r="Z10" s="329"/>
      <c r="AA10" s="337"/>
      <c r="AB10" s="297"/>
      <c r="AC10" s="337"/>
      <c r="AD10" s="337"/>
      <c r="AE10" s="337"/>
      <c r="AF10" s="337"/>
      <c r="AG10" s="338"/>
      <c r="AH10" s="243"/>
    </row>
    <row r="11" spans="1:175" ht="18.95" customHeight="1" x14ac:dyDescent="0.25">
      <c r="A11" s="311">
        <v>8</v>
      </c>
      <c r="B11" s="674"/>
      <c r="C11" s="675"/>
      <c r="D11" s="676"/>
      <c r="E11" s="677"/>
      <c r="F11" s="164" t="str">
        <f t="shared" si="0"/>
        <v/>
      </c>
      <c r="G11" s="677"/>
      <c r="H11" s="51"/>
      <c r="I11" s="171" t="str">
        <f>IF(G11="S",IF(H11=3,1,IF(H11=2,0.6,IF(H11=1,0.3,0))),"")</f>
        <v/>
      </c>
      <c r="J11" s="51"/>
      <c r="K11" s="51"/>
      <c r="L11" s="51"/>
      <c r="M11" s="51"/>
      <c r="N11" s="51"/>
      <c r="O11" s="171" t="str">
        <f t="shared" si="2"/>
        <v/>
      </c>
      <c r="P11" s="51"/>
      <c r="Q11" s="51"/>
      <c r="R11" s="51"/>
      <c r="S11" s="51"/>
      <c r="T11" s="51"/>
      <c r="U11" s="171" t="str">
        <f>IF(AND($F11=1,P11="S"),IF(Q11=3,1,IF(Q11=2,0.6,IF(Q11=1,0.3,0))),"")</f>
        <v/>
      </c>
      <c r="V11" s="335"/>
      <c r="W11" s="335"/>
      <c r="X11" s="171" t="str">
        <f>IF($F11=1,IF(V11=3,1,IF(V11=2,0.6,IF(V11=1,0.3,0))),"")</f>
        <v/>
      </c>
      <c r="Y11" s="336" t="str">
        <f>IF(NOT(ISBLANK(D11)),IF(OR(ISNUMBER(I11),ISNUMBER(O11),ISNUMBER(U11),ISNUMBER(X11)),AVERAGE(I11,O11,U11,X11),0),"")</f>
        <v/>
      </c>
      <c r="Z11" s="329"/>
      <c r="AA11" s="337"/>
      <c r="AB11" s="337"/>
      <c r="AC11" s="337"/>
      <c r="AD11" s="337"/>
      <c r="AE11" s="337"/>
      <c r="AF11" s="337"/>
      <c r="AG11" s="338"/>
      <c r="AH11" s="243"/>
    </row>
    <row r="12" spans="1:175" ht="21.95" customHeight="1" x14ac:dyDescent="0.25">
      <c r="A12" s="311">
        <v>8</v>
      </c>
      <c r="B12" s="674"/>
      <c r="C12" s="675"/>
      <c r="D12" s="676"/>
      <c r="E12" s="677"/>
      <c r="F12" s="164" t="str">
        <f t="shared" si="0"/>
        <v/>
      </c>
      <c r="G12" s="677"/>
      <c r="H12" s="51"/>
      <c r="I12" s="171" t="str">
        <f>IF(G12="S",IF(H12=3,1,IF(H12=2,0.6,IF(H12=1,0.3,0))),"")</f>
        <v/>
      </c>
      <c r="J12" s="51"/>
      <c r="K12" s="51"/>
      <c r="L12" s="51"/>
      <c r="M12" s="51"/>
      <c r="N12" s="51"/>
      <c r="O12" s="171" t="str">
        <f t="shared" si="2"/>
        <v/>
      </c>
      <c r="P12" s="51"/>
      <c r="Q12" s="51"/>
      <c r="R12" s="51"/>
      <c r="S12" s="51"/>
      <c r="T12" s="51"/>
      <c r="U12" s="171" t="str">
        <f>IF(AND($F12=1,P12="S"),IF(Q12=3,1,IF(Q12=2,0.6,IF(Q12=1,0.3,0))),"")</f>
        <v/>
      </c>
      <c r="V12" s="335"/>
      <c r="W12" s="335"/>
      <c r="X12" s="171" t="str">
        <f>IF($F12=1,IF(V12=3,1,IF(V12=2,0.6,IF(V12=1,0.3,0))),"")</f>
        <v/>
      </c>
      <c r="Y12" s="336" t="str">
        <f>IF(NOT(ISBLANK(D12)),IF(OR(ISNUMBER(I12),ISNUMBER(O12),ISNUMBER(U12),ISNUMBER(X12)),AVERAGE(I12,O12,U12,X12),0),"")</f>
        <v/>
      </c>
      <c r="Z12" s="329"/>
      <c r="AA12" s="337"/>
      <c r="AB12" s="337"/>
      <c r="AC12" s="337"/>
      <c r="AD12" s="337"/>
      <c r="AE12" s="337"/>
      <c r="AF12" s="337"/>
      <c r="AG12" s="338"/>
      <c r="AH12" s="243"/>
    </row>
    <row r="13" spans="1:175" ht="20.100000000000001" customHeight="1" x14ac:dyDescent="0.25">
      <c r="A13" s="311">
        <v>8</v>
      </c>
      <c r="B13" s="674"/>
      <c r="C13" s="675"/>
      <c r="D13" s="676"/>
      <c r="E13" s="677"/>
      <c r="F13" s="164" t="str">
        <f t="shared" si="0"/>
        <v/>
      </c>
      <c r="G13" s="677"/>
      <c r="H13" s="51"/>
      <c r="I13" s="171" t="str">
        <f>IF(G13="S",IF(H13=3,1,IF(H13=2,0.6,IF(H13=1,0.3,0))),"")</f>
        <v/>
      </c>
      <c r="J13" s="51"/>
      <c r="K13" s="51"/>
      <c r="L13" s="51"/>
      <c r="M13" s="51"/>
      <c r="N13" s="51"/>
      <c r="O13" s="171" t="str">
        <f t="shared" si="2"/>
        <v/>
      </c>
      <c r="P13" s="51"/>
      <c r="Q13" s="51"/>
      <c r="R13" s="51"/>
      <c r="S13" s="51"/>
      <c r="T13" s="51"/>
      <c r="U13" s="171" t="str">
        <f>IF(AND($F13=1,P13="S"),IF(Q13=3,1,IF(Q13=2,0.6,IF(Q13=1,0.3,0))),"")</f>
        <v/>
      </c>
      <c r="V13" s="335"/>
      <c r="W13" s="335"/>
      <c r="X13" s="171" t="str">
        <f>IF($F13=1,IF(V13=3,1,IF(V13=2,0.6,IF(V13=1,0.3,0))),"")</f>
        <v/>
      </c>
      <c r="Y13" s="336" t="str">
        <f>IF(NOT(ISBLANK(D13)),IF(OR(ISNUMBER(I13),ISNUMBER(O13),ISNUMBER(U13),ISNUMBER(X13)),AVERAGE(I13,O13,U13,X13),0),"")</f>
        <v/>
      </c>
      <c r="Z13" s="329"/>
      <c r="AA13" s="337"/>
      <c r="AB13" s="337"/>
      <c r="AC13" s="337"/>
      <c r="AD13" s="337"/>
      <c r="AE13" s="337"/>
      <c r="AF13" s="337"/>
      <c r="AG13" s="338"/>
      <c r="AH13" s="243"/>
    </row>
    <row r="14" spans="1:175" ht="20.25" x14ac:dyDescent="0.25">
      <c r="A14" s="311">
        <v>8</v>
      </c>
      <c r="B14" s="674"/>
      <c r="C14" s="675"/>
      <c r="D14" s="676"/>
      <c r="E14" s="677"/>
      <c r="F14" s="164" t="str">
        <f t="shared" si="0"/>
        <v/>
      </c>
      <c r="G14" s="677"/>
      <c r="H14" s="51"/>
      <c r="I14" s="171" t="str">
        <f>IF(G14="S",IF(H14=3,1,IF(H14=2,0.6,IF(H14=1,0.3,0))),"")</f>
        <v/>
      </c>
      <c r="J14" s="51"/>
      <c r="K14" s="51"/>
      <c r="L14" s="51"/>
      <c r="M14" s="51"/>
      <c r="N14" s="51"/>
      <c r="O14" s="171" t="str">
        <f t="shared" si="2"/>
        <v/>
      </c>
      <c r="P14" s="51"/>
      <c r="Q14" s="51"/>
      <c r="R14" s="51"/>
      <c r="S14" s="51"/>
      <c r="T14" s="51"/>
      <c r="U14" s="171" t="str">
        <f>IF(AND($F14=1,P14="S"),IF(Q14=3,1,IF(Q14=2,0.6,IF(Q14=1,0.3,0))),"")</f>
        <v/>
      </c>
      <c r="V14" s="335"/>
      <c r="W14" s="335"/>
      <c r="X14" s="171" t="str">
        <f>IF($F14=1,IF(V14=3,1,IF(V14=2,0.6,IF(V14=1,0.3,0))),"")</f>
        <v/>
      </c>
      <c r="Y14" s="336" t="str">
        <f>IF(NOT(ISBLANK(D14)),IF(OR(ISNUMBER(I14),ISNUMBER(O14),ISNUMBER(U14),ISNUMBER(X14)),AVERAGE(I14,O14,U14,X14),0),"")</f>
        <v/>
      </c>
      <c r="Z14" s="329"/>
      <c r="AA14" s="337"/>
      <c r="AB14" s="337"/>
      <c r="AC14" s="337"/>
      <c r="AD14" s="337"/>
      <c r="AE14" s="337"/>
      <c r="AF14" s="337"/>
      <c r="AG14" s="338"/>
      <c r="AH14" s="243"/>
    </row>
    <row r="15" spans="1:175" ht="18.95" customHeight="1" x14ac:dyDescent="0.25">
      <c r="A15" s="311">
        <v>8</v>
      </c>
      <c r="B15" s="674"/>
      <c r="C15" s="675"/>
      <c r="D15" s="676"/>
      <c r="E15" s="677"/>
      <c r="F15" s="164" t="str">
        <f t="shared" si="0"/>
        <v/>
      </c>
      <c r="G15" s="677"/>
      <c r="H15" s="51"/>
      <c r="I15" s="171" t="str">
        <f t="shared" si="1"/>
        <v/>
      </c>
      <c r="J15" s="51"/>
      <c r="K15" s="51"/>
      <c r="L15" s="51"/>
      <c r="M15" s="51"/>
      <c r="N15" s="51"/>
      <c r="O15" s="171" t="str">
        <f t="shared" si="2"/>
        <v/>
      </c>
      <c r="P15" s="51"/>
      <c r="Q15" s="51"/>
      <c r="R15" s="51"/>
      <c r="S15" s="51"/>
      <c r="T15" s="51"/>
      <c r="U15" s="171" t="str">
        <f t="shared" si="3"/>
        <v/>
      </c>
      <c r="V15" s="335"/>
      <c r="W15" s="335"/>
      <c r="X15" s="171" t="str">
        <f t="shared" si="4"/>
        <v/>
      </c>
      <c r="Y15" s="336" t="str">
        <f t="shared" si="5"/>
        <v/>
      </c>
      <c r="Z15" s="329"/>
      <c r="AA15" s="337"/>
      <c r="AB15" s="337"/>
      <c r="AC15" s="337"/>
      <c r="AD15" s="337"/>
      <c r="AE15" s="337"/>
      <c r="AF15" s="337"/>
      <c r="AG15" s="338"/>
      <c r="AH15" s="243"/>
    </row>
    <row r="16" spans="1:175" ht="21.95" customHeight="1" x14ac:dyDescent="0.25">
      <c r="A16" s="311">
        <v>8</v>
      </c>
      <c r="B16" s="674"/>
      <c r="C16" s="675"/>
      <c r="D16" s="676"/>
      <c r="E16" s="677"/>
      <c r="F16" s="164" t="str">
        <f t="shared" si="0"/>
        <v/>
      </c>
      <c r="G16" s="677"/>
      <c r="H16" s="51"/>
      <c r="I16" s="171" t="str">
        <f t="shared" si="1"/>
        <v/>
      </c>
      <c r="J16" s="51"/>
      <c r="K16" s="51"/>
      <c r="L16" s="51"/>
      <c r="M16" s="51"/>
      <c r="N16" s="51"/>
      <c r="O16" s="171" t="str">
        <f t="shared" si="2"/>
        <v/>
      </c>
      <c r="P16" s="51"/>
      <c r="Q16" s="51"/>
      <c r="R16" s="51"/>
      <c r="S16" s="51"/>
      <c r="T16" s="51"/>
      <c r="U16" s="171" t="str">
        <f t="shared" si="3"/>
        <v/>
      </c>
      <c r="V16" s="335"/>
      <c r="W16" s="335"/>
      <c r="X16" s="171" t="str">
        <f t="shared" si="4"/>
        <v/>
      </c>
      <c r="Y16" s="336" t="str">
        <f t="shared" si="5"/>
        <v/>
      </c>
      <c r="Z16" s="329"/>
      <c r="AA16" s="337"/>
      <c r="AB16" s="337"/>
      <c r="AC16" s="337"/>
      <c r="AD16" s="337"/>
      <c r="AE16" s="337"/>
      <c r="AF16" s="337"/>
      <c r="AG16" s="338"/>
      <c r="AH16" s="243"/>
    </row>
    <row r="17" spans="1:34" ht="20.100000000000001" customHeight="1" x14ac:dyDescent="0.25">
      <c r="A17" s="311">
        <v>8</v>
      </c>
      <c r="B17" s="674"/>
      <c r="C17" s="675"/>
      <c r="D17" s="676"/>
      <c r="E17" s="677"/>
      <c r="F17" s="164" t="str">
        <f t="shared" si="0"/>
        <v/>
      </c>
      <c r="G17" s="677"/>
      <c r="H17" s="51"/>
      <c r="I17" s="171" t="str">
        <f t="shared" si="1"/>
        <v/>
      </c>
      <c r="J17" s="51"/>
      <c r="K17" s="51"/>
      <c r="L17" s="51"/>
      <c r="M17" s="51"/>
      <c r="N17" s="51"/>
      <c r="O17" s="171" t="str">
        <f t="shared" si="2"/>
        <v/>
      </c>
      <c r="P17" s="51"/>
      <c r="Q17" s="51"/>
      <c r="R17" s="51"/>
      <c r="S17" s="51"/>
      <c r="T17" s="51"/>
      <c r="U17" s="171" t="str">
        <f t="shared" si="3"/>
        <v/>
      </c>
      <c r="V17" s="335"/>
      <c r="W17" s="335"/>
      <c r="X17" s="171" t="str">
        <f t="shared" si="4"/>
        <v/>
      </c>
      <c r="Y17" s="336" t="str">
        <f t="shared" si="5"/>
        <v/>
      </c>
      <c r="Z17" s="329"/>
      <c r="AA17" s="337"/>
      <c r="AB17" s="337"/>
      <c r="AC17" s="337"/>
      <c r="AD17" s="337"/>
      <c r="AE17" s="337"/>
      <c r="AF17" s="337"/>
      <c r="AG17" s="338"/>
      <c r="AH17" s="243"/>
    </row>
    <row r="18" spans="1:34" ht="20.25" x14ac:dyDescent="0.25">
      <c r="A18" s="311">
        <v>8</v>
      </c>
      <c r="B18" s="674"/>
      <c r="C18" s="675"/>
      <c r="D18" s="676"/>
      <c r="E18" s="677"/>
      <c r="F18" s="164" t="str">
        <f t="shared" si="0"/>
        <v/>
      </c>
      <c r="G18" s="677"/>
      <c r="H18" s="51"/>
      <c r="I18" s="171" t="str">
        <f t="shared" si="1"/>
        <v/>
      </c>
      <c r="J18" s="51"/>
      <c r="K18" s="51"/>
      <c r="L18" s="51"/>
      <c r="M18" s="51"/>
      <c r="N18" s="51"/>
      <c r="O18" s="171" t="str">
        <f t="shared" si="2"/>
        <v/>
      </c>
      <c r="P18" s="51"/>
      <c r="Q18" s="51"/>
      <c r="R18" s="51"/>
      <c r="S18" s="51"/>
      <c r="T18" s="51"/>
      <c r="U18" s="171" t="str">
        <f t="shared" si="3"/>
        <v/>
      </c>
      <c r="V18" s="335"/>
      <c r="W18" s="335"/>
      <c r="X18" s="171" t="str">
        <f t="shared" si="4"/>
        <v/>
      </c>
      <c r="Y18" s="336" t="str">
        <f t="shared" si="5"/>
        <v/>
      </c>
      <c r="Z18" s="329"/>
      <c r="AA18" s="337"/>
      <c r="AB18" s="337"/>
      <c r="AC18" s="337"/>
      <c r="AD18" s="337"/>
      <c r="AE18" s="337"/>
      <c r="AF18" s="337"/>
      <c r="AG18" s="338"/>
      <c r="AH18" s="243"/>
    </row>
    <row r="19" spans="1:34" ht="20.85" customHeight="1" x14ac:dyDescent="0.25">
      <c r="A19" s="311">
        <v>8</v>
      </c>
      <c r="B19" s="674"/>
      <c r="C19" s="675"/>
      <c r="D19" s="676"/>
      <c r="E19" s="677"/>
      <c r="F19" s="164" t="str">
        <f t="shared" si="0"/>
        <v/>
      </c>
      <c r="G19" s="677"/>
      <c r="H19" s="51"/>
      <c r="I19" s="171" t="str">
        <f t="shared" ref="I19" si="6">IF(G19="S",IF(H19=3,1,IF(H19=2,0.6,IF(H19=1,0.3,0))),"")</f>
        <v/>
      </c>
      <c r="J19" s="51"/>
      <c r="K19" s="51"/>
      <c r="L19" s="51"/>
      <c r="M19" s="51"/>
      <c r="N19" s="51"/>
      <c r="O19" s="171" t="str">
        <f t="shared" si="2"/>
        <v/>
      </c>
      <c r="P19" s="51"/>
      <c r="Q19" s="51"/>
      <c r="R19" s="51"/>
      <c r="S19" s="51"/>
      <c r="T19" s="51"/>
      <c r="U19" s="171" t="str">
        <f t="shared" ref="U19" si="7">IF(AND($F19=1,P19="S"),IF(Q19=3,1,IF(Q19=2,0.6,IF(Q19=1,0.3,0))),"")</f>
        <v/>
      </c>
      <c r="V19" s="335"/>
      <c r="W19" s="335"/>
      <c r="X19" s="171" t="str">
        <f t="shared" ref="X19" si="8">IF($F19=1,IF(V19=3,1,IF(V19=2,0.6,IF(V19=1,0.3,0))),"")</f>
        <v/>
      </c>
      <c r="Y19" s="336" t="str">
        <f t="shared" ref="Y19" si="9">IF(NOT(ISBLANK(D19)),IF(OR(ISNUMBER(I19),ISNUMBER(O19),ISNUMBER(U19),ISNUMBER(X19)),AVERAGE(I19,O19,U19,X19),0),"")</f>
        <v/>
      </c>
      <c r="Z19" s="329"/>
      <c r="AA19" s="337"/>
      <c r="AB19" s="297"/>
      <c r="AC19" s="337"/>
      <c r="AD19" s="337"/>
      <c r="AE19" s="337"/>
      <c r="AF19" s="337"/>
      <c r="AG19" s="338"/>
      <c r="AH19" s="243"/>
    </row>
    <row r="20" spans="1:34" ht="18.95" customHeight="1" x14ac:dyDescent="0.25">
      <c r="A20" s="311">
        <v>8</v>
      </c>
      <c r="B20" s="674"/>
      <c r="C20" s="675"/>
      <c r="D20" s="676"/>
      <c r="E20" s="677"/>
      <c r="F20" s="164" t="str">
        <f t="shared" si="0"/>
        <v/>
      </c>
      <c r="G20" s="677"/>
      <c r="H20" s="51"/>
      <c r="I20" s="171" t="str">
        <f>IF(G20="S",IF(H20=3,1,IF(H20=2,0.6,IF(H20=1,0.3,0))),"")</f>
        <v/>
      </c>
      <c r="J20" s="51"/>
      <c r="K20" s="51"/>
      <c r="L20" s="51"/>
      <c r="M20" s="51"/>
      <c r="N20" s="51"/>
      <c r="O20" s="171" t="str">
        <f t="shared" si="2"/>
        <v/>
      </c>
      <c r="P20" s="51"/>
      <c r="Q20" s="51"/>
      <c r="R20" s="51"/>
      <c r="S20" s="51"/>
      <c r="T20" s="51"/>
      <c r="U20" s="171" t="str">
        <f>IF(AND($F20=1,P20="S"),IF(Q20=3,1,IF(Q20=2,0.6,IF(Q20=1,0.3,0))),"")</f>
        <v/>
      </c>
      <c r="V20" s="335"/>
      <c r="W20" s="335"/>
      <c r="X20" s="171" t="str">
        <f>IF($F20=1,IF(V20=3,1,IF(V20=2,0.6,IF(V20=1,0.3,0))),"")</f>
        <v/>
      </c>
      <c r="Y20" s="336" t="str">
        <f>IF(NOT(ISBLANK(D20)),IF(OR(ISNUMBER(I20),ISNUMBER(O20),ISNUMBER(U20),ISNUMBER(X20)),AVERAGE(I20,O20,U20,X20),0),"")</f>
        <v/>
      </c>
      <c r="Z20" s="329"/>
      <c r="AA20" s="337"/>
      <c r="AB20" s="337"/>
      <c r="AC20" s="337"/>
      <c r="AD20" s="337"/>
      <c r="AE20" s="337"/>
      <c r="AF20" s="337"/>
      <c r="AG20" s="338"/>
      <c r="AH20" s="243"/>
    </row>
    <row r="21" spans="1:34" ht="21.95" customHeight="1" x14ac:dyDescent="0.25">
      <c r="A21" s="311">
        <v>8</v>
      </c>
      <c r="B21" s="674"/>
      <c r="C21" s="675"/>
      <c r="D21" s="676"/>
      <c r="E21" s="677"/>
      <c r="F21" s="164" t="str">
        <f t="shared" si="0"/>
        <v/>
      </c>
      <c r="G21" s="677"/>
      <c r="H21" s="51"/>
      <c r="I21" s="171" t="str">
        <f>IF(G21="S",IF(H21=3,1,IF(H21=2,0.6,IF(H21=1,0.3,0))),"")</f>
        <v/>
      </c>
      <c r="J21" s="51"/>
      <c r="K21" s="51"/>
      <c r="L21" s="51"/>
      <c r="M21" s="51"/>
      <c r="N21" s="51"/>
      <c r="O21" s="171" t="str">
        <f t="shared" si="2"/>
        <v/>
      </c>
      <c r="P21" s="51"/>
      <c r="Q21" s="51"/>
      <c r="R21" s="51"/>
      <c r="S21" s="51"/>
      <c r="T21" s="51"/>
      <c r="U21" s="171" t="str">
        <f>IF(AND($F21=1,P21="S"),IF(Q21=3,1,IF(Q21=2,0.6,IF(Q21=1,0.3,0))),"")</f>
        <v/>
      </c>
      <c r="V21" s="335"/>
      <c r="W21" s="335"/>
      <c r="X21" s="171" t="str">
        <f>IF($F21=1,IF(V21=3,1,IF(V21=2,0.6,IF(V21=1,0.3,0))),"")</f>
        <v/>
      </c>
      <c r="Y21" s="336" t="str">
        <f>IF(NOT(ISBLANK(D21)),IF(OR(ISNUMBER(I21),ISNUMBER(O21),ISNUMBER(U21),ISNUMBER(X21)),AVERAGE(I21,O21,U21,X21),0),"")</f>
        <v/>
      </c>
      <c r="Z21" s="329"/>
      <c r="AA21" s="337"/>
      <c r="AB21" s="337"/>
      <c r="AC21" s="337"/>
      <c r="AD21" s="337"/>
      <c r="AE21" s="337"/>
      <c r="AF21" s="337"/>
      <c r="AG21" s="338"/>
      <c r="AH21" s="243"/>
    </row>
    <row r="22" spans="1:34" ht="20.100000000000001" customHeight="1" x14ac:dyDescent="0.25">
      <c r="A22" s="311">
        <v>8</v>
      </c>
      <c r="B22" s="674"/>
      <c r="C22" s="675"/>
      <c r="D22" s="676"/>
      <c r="E22" s="677"/>
      <c r="F22" s="164" t="str">
        <f t="shared" si="0"/>
        <v/>
      </c>
      <c r="G22" s="677"/>
      <c r="H22" s="51"/>
      <c r="I22" s="171" t="str">
        <f>IF(G22="S",IF(H22=3,1,IF(H22=2,0.6,IF(H22=1,0.3,0))),"")</f>
        <v/>
      </c>
      <c r="J22" s="51"/>
      <c r="K22" s="51"/>
      <c r="L22" s="51"/>
      <c r="M22" s="51"/>
      <c r="N22" s="51"/>
      <c r="O22" s="171" t="str">
        <f t="shared" si="2"/>
        <v/>
      </c>
      <c r="P22" s="51"/>
      <c r="Q22" s="51"/>
      <c r="R22" s="51"/>
      <c r="S22" s="51"/>
      <c r="T22" s="51"/>
      <c r="U22" s="171" t="str">
        <f>IF(AND($F22=1,P22="S"),IF(Q22=3,1,IF(Q22=2,0.6,IF(Q22=1,0.3,0))),"")</f>
        <v/>
      </c>
      <c r="V22" s="335"/>
      <c r="W22" s="335"/>
      <c r="X22" s="171" t="str">
        <f>IF($F22=1,IF(V22=3,1,IF(V22=2,0.6,IF(V22=1,0.3,0))),"")</f>
        <v/>
      </c>
      <c r="Y22" s="336" t="str">
        <f>IF(NOT(ISBLANK(D22)),IF(OR(ISNUMBER(I22),ISNUMBER(O22),ISNUMBER(U22),ISNUMBER(X22)),AVERAGE(I22,O22,U22,X22),0),"")</f>
        <v/>
      </c>
      <c r="Z22" s="329"/>
      <c r="AA22" s="337"/>
      <c r="AB22" s="337"/>
      <c r="AC22" s="337"/>
      <c r="AD22" s="337"/>
      <c r="AE22" s="337"/>
      <c r="AF22" s="337"/>
      <c r="AG22" s="338"/>
      <c r="AH22" s="243"/>
    </row>
    <row r="23" spans="1:34" ht="23.25" x14ac:dyDescent="0.25">
      <c r="A23" s="311">
        <v>8</v>
      </c>
      <c r="B23" s="674"/>
      <c r="C23" s="675"/>
      <c r="D23" s="676"/>
      <c r="E23" s="677"/>
      <c r="F23" s="164" t="str">
        <f t="shared" si="0"/>
        <v/>
      </c>
      <c r="G23" s="677"/>
      <c r="H23" s="51"/>
      <c r="I23" s="171" t="str">
        <f>IF(G23="S",IF(H23=3,1,IF(H23=2,0.6,IF(H23=1,0.3,0))),"")</f>
        <v/>
      </c>
      <c r="J23" s="51"/>
      <c r="K23" s="51"/>
      <c r="L23" s="51"/>
      <c r="M23" s="51"/>
      <c r="N23" s="51"/>
      <c r="O23" s="171" t="str">
        <f t="shared" si="2"/>
        <v/>
      </c>
      <c r="P23" s="51"/>
      <c r="Q23" s="51"/>
      <c r="R23" s="51"/>
      <c r="S23" s="51"/>
      <c r="T23" s="51"/>
      <c r="U23" s="171" t="str">
        <f>IF(AND($F23=1,P23="S"),IF(Q23=3,1,IF(Q23=2,0.6,IF(Q23=1,0.3,0))),"")</f>
        <v/>
      </c>
      <c r="V23" s="335"/>
      <c r="W23" s="335"/>
      <c r="X23" s="171" t="str">
        <f>IF($F23=1,IF(V23=3,1,IF(V23=2,0.6,IF(V23=1,0.3,0))),"")</f>
        <v/>
      </c>
      <c r="Y23" s="336" t="str">
        <f>IF(NOT(ISBLANK(D23)),IF(OR(ISNUMBER(I23),ISNUMBER(O23),ISNUMBER(U23),ISNUMBER(X23)),AVERAGE(I23,O23,U23,X23),0),"")</f>
        <v/>
      </c>
      <c r="Z23" s="329"/>
      <c r="AA23" s="337"/>
      <c r="AB23" s="337"/>
      <c r="AC23" s="337"/>
      <c r="AD23" s="337"/>
      <c r="AE23" s="337"/>
      <c r="AF23" s="337"/>
      <c r="AG23" s="338"/>
      <c r="AH23" s="243"/>
    </row>
    <row r="24" spans="1:34" ht="18.95" customHeight="1" x14ac:dyDescent="0.25">
      <c r="A24" s="311">
        <v>8</v>
      </c>
      <c r="B24" s="674"/>
      <c r="C24" s="675"/>
      <c r="D24" s="676"/>
      <c r="E24" s="677"/>
      <c r="F24" s="164" t="str">
        <f t="shared" si="0"/>
        <v/>
      </c>
      <c r="G24" s="677"/>
      <c r="H24" s="51"/>
      <c r="I24" s="171" t="str">
        <f t="shared" ref="I24:I27" si="10">IF(G24="S",IF(H24=3,1,IF(H24=2,0.6,IF(H24=1,0.3,0))),"")</f>
        <v/>
      </c>
      <c r="J24" s="51"/>
      <c r="K24" s="51"/>
      <c r="L24" s="51"/>
      <c r="M24" s="51"/>
      <c r="N24" s="51"/>
      <c r="O24" s="171" t="str">
        <f t="shared" si="2"/>
        <v/>
      </c>
      <c r="P24" s="51"/>
      <c r="Q24" s="51"/>
      <c r="R24" s="51"/>
      <c r="S24" s="51"/>
      <c r="T24" s="51"/>
      <c r="U24" s="171" t="str">
        <f t="shared" ref="U24:U26" si="11">IF(AND($F24=1,P24="S"),IF(Q24=3,1,IF(Q24=2,0.6,IF(Q24=1,0.3,0))),"")</f>
        <v/>
      </c>
      <c r="V24" s="335"/>
      <c r="W24" s="335"/>
      <c r="X24" s="171" t="str">
        <f t="shared" ref="X24:X27" si="12">IF($F24=1,IF(V24=3,1,IF(V24=2,0.6,IF(V24=1,0.3,0))),"")</f>
        <v/>
      </c>
      <c r="Y24" s="336" t="str">
        <f t="shared" ref="Y24:Y27" si="13">IF(NOT(ISBLANK(D24)),IF(OR(ISNUMBER(I24),ISNUMBER(O24),ISNUMBER(U24),ISNUMBER(X24)),AVERAGE(I24,O24,U24,X24),0),"")</f>
        <v/>
      </c>
      <c r="Z24" s="329"/>
      <c r="AA24" s="337"/>
      <c r="AB24" s="337"/>
      <c r="AC24" s="337"/>
      <c r="AD24" s="337"/>
      <c r="AE24" s="337"/>
      <c r="AF24" s="337"/>
      <c r="AG24" s="338"/>
      <c r="AH24" s="243"/>
    </row>
    <row r="25" spans="1:34" ht="21.95" customHeight="1" x14ac:dyDescent="0.25">
      <c r="A25" s="311">
        <v>8</v>
      </c>
      <c r="B25" s="674"/>
      <c r="C25" s="675"/>
      <c r="D25" s="676"/>
      <c r="E25" s="677"/>
      <c r="F25" s="164" t="str">
        <f t="shared" si="0"/>
        <v/>
      </c>
      <c r="G25" s="677"/>
      <c r="H25" s="51"/>
      <c r="I25" s="171" t="str">
        <f t="shared" si="10"/>
        <v/>
      </c>
      <c r="J25" s="51"/>
      <c r="K25" s="51"/>
      <c r="L25" s="51"/>
      <c r="M25" s="51"/>
      <c r="N25" s="51"/>
      <c r="O25" s="171" t="str">
        <f t="shared" si="2"/>
        <v/>
      </c>
      <c r="P25" s="51"/>
      <c r="Q25" s="51"/>
      <c r="R25" s="51"/>
      <c r="S25" s="51"/>
      <c r="T25" s="51"/>
      <c r="U25" s="171" t="str">
        <f t="shared" si="11"/>
        <v/>
      </c>
      <c r="V25" s="335"/>
      <c r="W25" s="335"/>
      <c r="X25" s="171" t="str">
        <f t="shared" si="12"/>
        <v/>
      </c>
      <c r="Y25" s="336" t="str">
        <f t="shared" si="13"/>
        <v/>
      </c>
      <c r="Z25" s="329"/>
      <c r="AA25" s="337"/>
      <c r="AB25" s="337"/>
      <c r="AC25" s="337"/>
      <c r="AD25" s="337"/>
      <c r="AE25" s="337"/>
      <c r="AF25" s="337"/>
      <c r="AG25" s="338"/>
      <c r="AH25" s="243"/>
    </row>
    <row r="26" spans="1:34" ht="20.100000000000001" customHeight="1" x14ac:dyDescent="0.25">
      <c r="A26" s="311">
        <v>8</v>
      </c>
      <c r="B26" s="674"/>
      <c r="C26" s="675"/>
      <c r="D26" s="676"/>
      <c r="E26" s="677"/>
      <c r="F26" s="164" t="str">
        <f t="shared" si="0"/>
        <v/>
      </c>
      <c r="G26" s="677"/>
      <c r="H26" s="51"/>
      <c r="I26" s="171" t="str">
        <f t="shared" si="10"/>
        <v/>
      </c>
      <c r="J26" s="51"/>
      <c r="K26" s="681"/>
      <c r="L26" s="51"/>
      <c r="M26" s="51"/>
      <c r="N26" s="51"/>
      <c r="O26" s="171" t="str">
        <f t="shared" si="2"/>
        <v/>
      </c>
      <c r="P26" s="51"/>
      <c r="Q26" s="51"/>
      <c r="R26" s="51"/>
      <c r="S26" s="51"/>
      <c r="T26" s="51"/>
      <c r="U26" s="171" t="str">
        <f t="shared" si="11"/>
        <v/>
      </c>
      <c r="V26" s="335"/>
      <c r="W26" s="335"/>
      <c r="X26" s="171" t="str">
        <f t="shared" si="12"/>
        <v/>
      </c>
      <c r="Y26" s="336" t="str">
        <f t="shared" si="13"/>
        <v/>
      </c>
      <c r="Z26" s="329"/>
      <c r="AA26" s="337"/>
      <c r="AB26" s="337"/>
      <c r="AC26" s="337"/>
      <c r="AD26" s="337"/>
      <c r="AE26" s="337"/>
      <c r="AF26" s="337"/>
      <c r="AG26" s="338"/>
      <c r="AH26" s="243"/>
    </row>
    <row r="27" spans="1:34" ht="15.75" x14ac:dyDescent="0.25">
      <c r="A27" s="311">
        <v>8</v>
      </c>
      <c r="B27" s="674"/>
      <c r="C27" s="675"/>
      <c r="D27" s="676"/>
      <c r="E27" s="677"/>
      <c r="F27" s="164" t="str">
        <f t="shared" si="0"/>
        <v/>
      </c>
      <c r="G27" s="677"/>
      <c r="H27" s="51"/>
      <c r="I27" s="171" t="str">
        <f t="shared" si="10"/>
        <v/>
      </c>
      <c r="J27" s="51"/>
      <c r="K27" s="51"/>
      <c r="L27" s="51"/>
      <c r="M27" s="51"/>
      <c r="N27" s="51"/>
      <c r="O27" s="171" t="str">
        <f t="shared" si="2"/>
        <v/>
      </c>
      <c r="P27" s="51"/>
      <c r="Q27" s="51"/>
      <c r="R27" s="51"/>
      <c r="S27" s="51"/>
      <c r="T27" s="51"/>
      <c r="U27" s="171" t="str">
        <f t="shared" ref="U27" si="14">IF(AND($F27=1,P27="S"),IF(Q27=3,1,IF(Q27=2,0.6,IF(Q27=1,0.3,0))),"")</f>
        <v/>
      </c>
      <c r="V27" s="335"/>
      <c r="W27" s="335"/>
      <c r="X27" s="171" t="str">
        <f t="shared" si="12"/>
        <v/>
      </c>
      <c r="Y27" s="336" t="str">
        <f t="shared" si="13"/>
        <v/>
      </c>
      <c r="Z27" s="329"/>
      <c r="AA27" s="337"/>
      <c r="AB27" s="337"/>
      <c r="AC27" s="337"/>
      <c r="AD27" s="337"/>
      <c r="AE27" s="337"/>
      <c r="AF27" s="337"/>
      <c r="AG27" s="338"/>
      <c r="AH27" s="243"/>
    </row>
    <row r="28" spans="1:34" ht="15.75" x14ac:dyDescent="0.25">
      <c r="A28" s="311">
        <v>8</v>
      </c>
      <c r="B28" s="674"/>
      <c r="C28" s="675"/>
      <c r="D28" s="676"/>
      <c r="E28" s="677"/>
      <c r="F28" s="164" t="str">
        <f t="shared" si="0"/>
        <v/>
      </c>
      <c r="G28" s="677"/>
      <c r="H28" s="51"/>
      <c r="I28" s="171" t="str">
        <f t="shared" si="1"/>
        <v/>
      </c>
      <c r="J28" s="51"/>
      <c r="K28" s="51"/>
      <c r="L28" s="51"/>
      <c r="M28" s="51"/>
      <c r="N28" s="51"/>
      <c r="O28" s="171" t="str">
        <f t="shared" si="2"/>
        <v/>
      </c>
      <c r="P28" s="51"/>
      <c r="Q28" s="51"/>
      <c r="R28" s="51"/>
      <c r="S28" s="51"/>
      <c r="T28" s="51"/>
      <c r="U28" s="171" t="str">
        <f t="shared" si="3"/>
        <v/>
      </c>
      <c r="V28" s="335"/>
      <c r="W28" s="335"/>
      <c r="X28" s="171" t="str">
        <f t="shared" si="4"/>
        <v/>
      </c>
      <c r="Y28" s="336" t="str">
        <f t="shared" si="5"/>
        <v/>
      </c>
      <c r="Z28" s="329"/>
      <c r="AA28" s="337"/>
      <c r="AB28" s="337"/>
      <c r="AC28" s="337"/>
      <c r="AD28" s="337"/>
      <c r="AE28" s="337"/>
      <c r="AF28" s="337"/>
      <c r="AG28" s="338"/>
      <c r="AH28" s="243"/>
    </row>
    <row r="29" spans="1:34" ht="15.75" x14ac:dyDescent="0.25">
      <c r="A29" s="311">
        <v>8</v>
      </c>
      <c r="B29" s="674"/>
      <c r="C29" s="675"/>
      <c r="D29" s="676"/>
      <c r="E29" s="677"/>
      <c r="F29" s="164" t="str">
        <f t="shared" si="0"/>
        <v/>
      </c>
      <c r="G29" s="677"/>
      <c r="H29" s="51"/>
      <c r="I29" s="171" t="str">
        <f t="shared" si="1"/>
        <v/>
      </c>
      <c r="J29" s="51"/>
      <c r="K29" s="51"/>
      <c r="L29" s="51"/>
      <c r="M29" s="51"/>
      <c r="N29" s="51"/>
      <c r="O29" s="171" t="str">
        <f t="shared" si="2"/>
        <v/>
      </c>
      <c r="P29" s="51"/>
      <c r="Q29" s="51"/>
      <c r="R29" s="51"/>
      <c r="S29" s="51"/>
      <c r="T29" s="51"/>
      <c r="U29" s="171" t="str">
        <f t="shared" si="3"/>
        <v/>
      </c>
      <c r="V29" s="335"/>
      <c r="W29" s="335"/>
      <c r="X29" s="171" t="str">
        <f t="shared" si="4"/>
        <v/>
      </c>
      <c r="Y29" s="336" t="str">
        <f t="shared" si="5"/>
        <v/>
      </c>
      <c r="Z29" s="329"/>
      <c r="AA29" s="337"/>
      <c r="AB29" s="337"/>
      <c r="AC29" s="337"/>
      <c r="AD29" s="337"/>
      <c r="AE29" s="337"/>
      <c r="AF29" s="337"/>
      <c r="AG29" s="338"/>
      <c r="AH29" s="243"/>
    </row>
    <row r="30" spans="1:34" ht="20.85" customHeight="1" x14ac:dyDescent="0.25">
      <c r="A30" s="311">
        <v>8</v>
      </c>
      <c r="B30" s="674"/>
      <c r="C30" s="675"/>
      <c r="D30" s="676"/>
      <c r="E30" s="677"/>
      <c r="F30" s="164" t="str">
        <f t="shared" si="0"/>
        <v/>
      </c>
      <c r="G30" s="677"/>
      <c r="H30" s="51"/>
      <c r="I30" s="171" t="str">
        <f t="shared" ref="I30:I36" si="15">IF(G30="S",IF(H30=3,1,IF(H30=2,0.6,IF(H30=1,0.3,0))),"")</f>
        <v/>
      </c>
      <c r="J30" s="51"/>
      <c r="K30" s="51"/>
      <c r="L30" s="51"/>
      <c r="M30" s="51"/>
      <c r="N30" s="51"/>
      <c r="O30" s="171" t="str">
        <f t="shared" si="2"/>
        <v/>
      </c>
      <c r="P30" s="51"/>
      <c r="Q30" s="51"/>
      <c r="R30" s="51"/>
      <c r="S30" s="51"/>
      <c r="T30" s="51"/>
      <c r="U30" s="171" t="str">
        <f t="shared" ref="U30:U36" si="16">IF(AND($F30=1,P30="S"),IF(Q30=3,1,IF(Q30=2,0.6,IF(Q30=1,0.3,0))),"")</f>
        <v/>
      </c>
      <c r="V30" s="335"/>
      <c r="W30" s="335"/>
      <c r="X30" s="171" t="str">
        <f t="shared" ref="X30:X36" si="17">IF($F30=1,IF(V30=3,1,IF(V30=2,0.6,IF(V30=1,0.3,0))),"")</f>
        <v/>
      </c>
      <c r="Y30" s="336" t="str">
        <f t="shared" ref="Y30:Y36" si="18">IF(NOT(ISBLANK(D30)),IF(OR(ISNUMBER(I30),ISNUMBER(O30),ISNUMBER(U30),ISNUMBER(X30)),AVERAGE(I30,O30,U30,X30),0),"")</f>
        <v/>
      </c>
      <c r="Z30" s="329"/>
      <c r="AA30" s="337"/>
      <c r="AB30" s="297"/>
      <c r="AC30" s="337"/>
      <c r="AD30" s="337"/>
      <c r="AE30" s="337"/>
      <c r="AF30" s="337"/>
      <c r="AG30" s="338"/>
      <c r="AH30" s="243"/>
    </row>
    <row r="31" spans="1:34" ht="18.95" customHeight="1" x14ac:dyDescent="0.25">
      <c r="A31" s="311">
        <v>8</v>
      </c>
      <c r="B31" s="674"/>
      <c r="C31" s="675"/>
      <c r="D31" s="676"/>
      <c r="E31" s="677"/>
      <c r="F31" s="164" t="str">
        <f t="shared" si="0"/>
        <v/>
      </c>
      <c r="G31" s="677"/>
      <c r="H31" s="51"/>
      <c r="I31" s="171" t="str">
        <f t="shared" si="15"/>
        <v/>
      </c>
      <c r="J31" s="51"/>
      <c r="K31" s="51"/>
      <c r="L31" s="51"/>
      <c r="M31" s="51"/>
      <c r="N31" s="51"/>
      <c r="O31" s="171" t="str">
        <f t="shared" si="2"/>
        <v/>
      </c>
      <c r="P31" s="51"/>
      <c r="Q31" s="51"/>
      <c r="R31" s="51"/>
      <c r="S31" s="51"/>
      <c r="T31" s="51"/>
      <c r="U31" s="171" t="str">
        <f t="shared" si="16"/>
        <v/>
      </c>
      <c r="V31" s="335"/>
      <c r="W31" s="335"/>
      <c r="X31" s="171" t="str">
        <f t="shared" si="17"/>
        <v/>
      </c>
      <c r="Y31" s="336" t="str">
        <f t="shared" si="18"/>
        <v/>
      </c>
      <c r="Z31" s="329"/>
      <c r="AA31" s="337"/>
      <c r="AB31" s="337"/>
      <c r="AC31" s="337"/>
      <c r="AD31" s="337"/>
      <c r="AE31" s="337"/>
      <c r="AF31" s="337"/>
      <c r="AG31" s="338"/>
      <c r="AH31" s="243"/>
    </row>
    <row r="32" spans="1:34" ht="21.95" customHeight="1" x14ac:dyDescent="0.25">
      <c r="A32" s="311">
        <v>8</v>
      </c>
      <c r="B32" s="674"/>
      <c r="C32" s="675"/>
      <c r="D32" s="676"/>
      <c r="E32" s="677"/>
      <c r="F32" s="164" t="str">
        <f t="shared" si="0"/>
        <v/>
      </c>
      <c r="G32" s="677"/>
      <c r="H32" s="51"/>
      <c r="I32" s="171" t="str">
        <f t="shared" si="15"/>
        <v/>
      </c>
      <c r="J32" s="51"/>
      <c r="K32" s="51"/>
      <c r="L32" s="51"/>
      <c r="M32" s="51"/>
      <c r="N32" s="51"/>
      <c r="O32" s="171" t="str">
        <f t="shared" si="2"/>
        <v/>
      </c>
      <c r="P32" s="51"/>
      <c r="Q32" s="51"/>
      <c r="R32" s="51"/>
      <c r="S32" s="51"/>
      <c r="T32" s="51"/>
      <c r="U32" s="171" t="str">
        <f t="shared" si="16"/>
        <v/>
      </c>
      <c r="V32" s="335"/>
      <c r="W32" s="335"/>
      <c r="X32" s="171" t="str">
        <f t="shared" si="17"/>
        <v/>
      </c>
      <c r="Y32" s="336" t="str">
        <f t="shared" si="18"/>
        <v/>
      </c>
      <c r="Z32" s="329"/>
      <c r="AA32" s="337"/>
      <c r="AB32" s="337"/>
      <c r="AC32" s="337"/>
      <c r="AD32" s="337"/>
      <c r="AE32" s="337"/>
      <c r="AF32" s="337"/>
      <c r="AG32" s="338"/>
      <c r="AH32" s="243"/>
    </row>
    <row r="33" spans="1:34" ht="20.100000000000001" customHeight="1" x14ac:dyDescent="0.25">
      <c r="A33" s="311">
        <v>8</v>
      </c>
      <c r="B33" s="674"/>
      <c r="C33" s="675"/>
      <c r="D33" s="676"/>
      <c r="E33" s="677"/>
      <c r="F33" s="164" t="str">
        <f t="shared" si="0"/>
        <v/>
      </c>
      <c r="G33" s="677"/>
      <c r="H33" s="51"/>
      <c r="I33" s="171" t="str">
        <f t="shared" si="15"/>
        <v/>
      </c>
      <c r="J33" s="51"/>
      <c r="K33" s="51"/>
      <c r="L33" s="51"/>
      <c r="M33" s="51"/>
      <c r="N33" s="51"/>
      <c r="O33" s="171" t="str">
        <f t="shared" si="2"/>
        <v/>
      </c>
      <c r="P33" s="51"/>
      <c r="Q33" s="51"/>
      <c r="R33" s="51"/>
      <c r="S33" s="51"/>
      <c r="T33" s="51"/>
      <c r="U33" s="171" t="str">
        <f t="shared" si="16"/>
        <v/>
      </c>
      <c r="V33" s="335"/>
      <c r="W33" s="335"/>
      <c r="X33" s="171" t="str">
        <f t="shared" si="17"/>
        <v/>
      </c>
      <c r="Y33" s="336" t="str">
        <f t="shared" si="18"/>
        <v/>
      </c>
      <c r="Z33" s="329"/>
      <c r="AA33" s="337"/>
      <c r="AB33" s="337"/>
      <c r="AC33" s="337"/>
      <c r="AD33" s="337"/>
      <c r="AE33" s="337"/>
      <c r="AF33" s="337"/>
      <c r="AG33" s="338"/>
      <c r="AH33" s="243"/>
    </row>
    <row r="34" spans="1:34" ht="15.75" x14ac:dyDescent="0.25">
      <c r="A34" s="311">
        <v>8</v>
      </c>
      <c r="B34" s="674"/>
      <c r="C34" s="675"/>
      <c r="D34" s="676"/>
      <c r="E34" s="677"/>
      <c r="F34" s="164" t="str">
        <f t="shared" si="0"/>
        <v/>
      </c>
      <c r="G34" s="677"/>
      <c r="H34" s="51"/>
      <c r="I34" s="171" t="str">
        <f t="shared" si="15"/>
        <v/>
      </c>
      <c r="J34" s="51"/>
      <c r="K34" s="51"/>
      <c r="L34" s="51"/>
      <c r="M34" s="51"/>
      <c r="N34" s="51"/>
      <c r="O34" s="171" t="str">
        <f t="shared" si="2"/>
        <v/>
      </c>
      <c r="P34" s="51"/>
      <c r="Q34" s="51"/>
      <c r="R34" s="51"/>
      <c r="S34" s="51"/>
      <c r="T34" s="51"/>
      <c r="U34" s="171" t="str">
        <f t="shared" si="16"/>
        <v/>
      </c>
      <c r="V34" s="335"/>
      <c r="W34" s="335"/>
      <c r="X34" s="171" t="str">
        <f t="shared" si="17"/>
        <v/>
      </c>
      <c r="Y34" s="336" t="str">
        <f t="shared" si="18"/>
        <v/>
      </c>
      <c r="Z34" s="329"/>
      <c r="AA34" s="337"/>
      <c r="AB34" s="337"/>
      <c r="AC34" s="337"/>
      <c r="AD34" s="337"/>
      <c r="AE34" s="337"/>
      <c r="AF34" s="337"/>
      <c r="AG34" s="338"/>
      <c r="AH34" s="243"/>
    </row>
    <row r="35" spans="1:34" ht="15.75" x14ac:dyDescent="0.25">
      <c r="A35" s="311">
        <v>8</v>
      </c>
      <c r="B35" s="674"/>
      <c r="C35" s="675"/>
      <c r="D35" s="676"/>
      <c r="E35" s="677"/>
      <c r="F35" s="164" t="str">
        <f t="shared" si="0"/>
        <v/>
      </c>
      <c r="G35" s="677"/>
      <c r="H35" s="51"/>
      <c r="I35" s="171" t="str">
        <f t="shared" si="15"/>
        <v/>
      </c>
      <c r="J35" s="51"/>
      <c r="K35" s="51"/>
      <c r="L35" s="51"/>
      <c r="M35" s="51"/>
      <c r="N35" s="51"/>
      <c r="O35" s="171" t="str">
        <f t="shared" si="2"/>
        <v/>
      </c>
      <c r="P35" s="51"/>
      <c r="Q35" s="51"/>
      <c r="R35" s="51"/>
      <c r="S35" s="51"/>
      <c r="T35" s="51"/>
      <c r="U35" s="171" t="str">
        <f t="shared" si="16"/>
        <v/>
      </c>
      <c r="V35" s="335"/>
      <c r="W35" s="335"/>
      <c r="X35" s="171" t="str">
        <f t="shared" si="17"/>
        <v/>
      </c>
      <c r="Y35" s="336" t="str">
        <f t="shared" si="18"/>
        <v/>
      </c>
      <c r="Z35" s="329"/>
      <c r="AA35" s="337"/>
      <c r="AB35" s="337"/>
      <c r="AC35" s="337"/>
      <c r="AD35" s="337"/>
      <c r="AE35" s="337"/>
      <c r="AF35" s="337"/>
      <c r="AG35" s="338"/>
      <c r="AH35" s="243"/>
    </row>
    <row r="36" spans="1:34" ht="20.85" customHeight="1" x14ac:dyDescent="0.25">
      <c r="A36" s="311">
        <v>8</v>
      </c>
      <c r="B36" s="674"/>
      <c r="C36" s="675"/>
      <c r="D36" s="676"/>
      <c r="E36" s="677"/>
      <c r="F36" s="164" t="str">
        <f t="shared" si="0"/>
        <v/>
      </c>
      <c r="G36" s="677"/>
      <c r="H36" s="51"/>
      <c r="I36" s="171" t="str">
        <f t="shared" si="15"/>
        <v/>
      </c>
      <c r="J36" s="51"/>
      <c r="K36" s="51"/>
      <c r="L36" s="51"/>
      <c r="M36" s="51"/>
      <c r="N36" s="51"/>
      <c r="O36" s="171" t="str">
        <f t="shared" si="2"/>
        <v/>
      </c>
      <c r="P36" s="51"/>
      <c r="Q36" s="51"/>
      <c r="R36" s="51"/>
      <c r="S36" s="51"/>
      <c r="T36" s="51"/>
      <c r="U36" s="171" t="str">
        <f t="shared" si="16"/>
        <v/>
      </c>
      <c r="V36" s="335"/>
      <c r="W36" s="335"/>
      <c r="X36" s="171" t="str">
        <f t="shared" si="17"/>
        <v/>
      </c>
      <c r="Y36" s="336" t="str">
        <f t="shared" si="18"/>
        <v/>
      </c>
      <c r="Z36" s="329"/>
      <c r="AA36" s="337"/>
      <c r="AB36" s="297"/>
      <c r="AC36" s="337"/>
      <c r="AD36" s="337"/>
      <c r="AE36" s="337"/>
      <c r="AF36" s="337"/>
      <c r="AG36" s="338"/>
      <c r="AH36" s="243"/>
    </row>
    <row r="37" spans="1:34" ht="18.95" customHeight="1" x14ac:dyDescent="0.25">
      <c r="A37" s="311">
        <v>8</v>
      </c>
      <c r="B37" s="674"/>
      <c r="C37" s="675"/>
      <c r="D37" s="676"/>
      <c r="E37" s="677"/>
      <c r="F37" s="164" t="str">
        <f t="shared" si="0"/>
        <v/>
      </c>
      <c r="G37" s="677"/>
      <c r="H37" s="51"/>
      <c r="I37" s="171" t="str">
        <f>IF(G37="S",IF(H37=3,1,IF(H37=2,0.6,IF(H37=1,0.3,0))),"")</f>
        <v/>
      </c>
      <c r="J37" s="51"/>
      <c r="K37" s="51"/>
      <c r="L37" s="51"/>
      <c r="M37" s="51"/>
      <c r="N37" s="51"/>
      <c r="O37" s="171" t="str">
        <f t="shared" si="2"/>
        <v/>
      </c>
      <c r="P37" s="51"/>
      <c r="Q37" s="51"/>
      <c r="R37" s="51"/>
      <c r="S37" s="51"/>
      <c r="T37" s="51"/>
      <c r="U37" s="171" t="str">
        <f>IF(AND($F37=1,P37="S"),IF(Q37=3,1,IF(Q37=2,0.6,IF(Q37=1,0.3,0))),"")</f>
        <v/>
      </c>
      <c r="V37" s="335"/>
      <c r="W37" s="335"/>
      <c r="X37" s="171" t="str">
        <f>IF($F37=1,IF(V37=3,1,IF(V37=2,0.6,IF(V37=1,0.3,0))),"")</f>
        <v/>
      </c>
      <c r="Y37" s="336" t="str">
        <f>IF(NOT(ISBLANK(D37)),IF(OR(ISNUMBER(I37),ISNUMBER(O37),ISNUMBER(U37),ISNUMBER(X37)),AVERAGE(I37,O37,U37,X37),0),"")</f>
        <v/>
      </c>
      <c r="Z37" s="329"/>
      <c r="AA37" s="337"/>
      <c r="AB37" s="337"/>
      <c r="AC37" s="337"/>
      <c r="AD37" s="337"/>
      <c r="AE37" s="337"/>
      <c r="AF37" s="337"/>
      <c r="AG37" s="338"/>
      <c r="AH37" s="243"/>
    </row>
    <row r="38" spans="1:34" ht="21.95" customHeight="1" x14ac:dyDescent="0.25">
      <c r="A38" s="311">
        <v>8</v>
      </c>
      <c r="B38" s="674"/>
      <c r="C38" s="675"/>
      <c r="D38" s="676"/>
      <c r="E38" s="677"/>
      <c r="F38" s="164" t="str">
        <f t="shared" si="0"/>
        <v/>
      </c>
      <c r="G38" s="677"/>
      <c r="H38" s="51"/>
      <c r="I38" s="171" t="str">
        <f>IF(G38="S",IF(H38=3,1,IF(H38=2,0.6,IF(H38=1,0.3,0))),"")</f>
        <v/>
      </c>
      <c r="J38" s="51"/>
      <c r="K38" s="51"/>
      <c r="L38" s="51"/>
      <c r="M38" s="51"/>
      <c r="N38" s="51"/>
      <c r="O38" s="171" t="str">
        <f t="shared" si="2"/>
        <v/>
      </c>
      <c r="P38" s="51"/>
      <c r="Q38" s="51"/>
      <c r="R38" s="51"/>
      <c r="S38" s="51"/>
      <c r="T38" s="51"/>
      <c r="U38" s="171" t="str">
        <f>IF(AND($F38=1,P38="S"),IF(Q38=3,1,IF(Q38=2,0.6,IF(Q38=1,0.3,0))),"")</f>
        <v/>
      </c>
      <c r="V38" s="335"/>
      <c r="W38" s="335"/>
      <c r="X38" s="171" t="str">
        <f>IF($F38=1,IF(V38=3,1,IF(V38=2,0.6,IF(V38=1,0.3,0))),"")</f>
        <v/>
      </c>
      <c r="Y38" s="336" t="str">
        <f>IF(NOT(ISBLANK(D38)),IF(OR(ISNUMBER(I38),ISNUMBER(O38),ISNUMBER(U38),ISNUMBER(X38)),AVERAGE(I38,O38,U38,X38),0),"")</f>
        <v/>
      </c>
      <c r="Z38" s="329"/>
      <c r="AA38" s="337"/>
      <c r="AB38" s="337"/>
      <c r="AC38" s="337"/>
      <c r="AD38" s="337"/>
      <c r="AE38" s="337"/>
      <c r="AF38" s="337"/>
      <c r="AG38" s="338"/>
      <c r="AH38" s="243"/>
    </row>
    <row r="39" spans="1:34" ht="20.100000000000001" customHeight="1" x14ac:dyDescent="0.25">
      <c r="A39" s="311">
        <v>8</v>
      </c>
      <c r="B39" s="674"/>
      <c r="C39" s="675"/>
      <c r="D39" s="676"/>
      <c r="E39" s="677"/>
      <c r="F39" s="164" t="str">
        <f t="shared" si="0"/>
        <v/>
      </c>
      <c r="G39" s="677"/>
      <c r="H39" s="51"/>
      <c r="I39" s="171" t="str">
        <f>IF(G39="S",IF(H39=3,1,IF(H39=2,0.6,IF(H39=1,0.3,0))),"")</f>
        <v/>
      </c>
      <c r="J39" s="51"/>
      <c r="K39" s="51"/>
      <c r="L39" s="51"/>
      <c r="M39" s="51"/>
      <c r="N39" s="51"/>
      <c r="O39" s="171" t="str">
        <f t="shared" si="2"/>
        <v/>
      </c>
      <c r="P39" s="51"/>
      <c r="Q39" s="51"/>
      <c r="R39" s="51"/>
      <c r="S39" s="51"/>
      <c r="T39" s="51"/>
      <c r="U39" s="171" t="str">
        <f>IF(AND($F39=1,P39="S"),IF(Q39=3,1,IF(Q39=2,0.6,IF(Q39=1,0.3,0))),"")</f>
        <v/>
      </c>
      <c r="V39" s="335"/>
      <c r="W39" s="335"/>
      <c r="X39" s="171" t="str">
        <f>IF($F39=1,IF(V39=3,1,IF(V39=2,0.6,IF(V39=1,0.3,0))),"")</f>
        <v/>
      </c>
      <c r="Y39" s="336" t="str">
        <f>IF(NOT(ISBLANK(D39)),IF(OR(ISNUMBER(I39),ISNUMBER(O39),ISNUMBER(U39),ISNUMBER(X39)),AVERAGE(I39,O39,U39,X39),0),"")</f>
        <v/>
      </c>
      <c r="Z39" s="329"/>
      <c r="AA39" s="337"/>
      <c r="AB39" s="337"/>
      <c r="AC39" s="337"/>
      <c r="AD39" s="337"/>
      <c r="AE39" s="337"/>
      <c r="AF39" s="337"/>
      <c r="AG39" s="338"/>
      <c r="AH39" s="243"/>
    </row>
    <row r="40" spans="1:34" ht="15.75" x14ac:dyDescent="0.25">
      <c r="A40" s="311">
        <v>8</v>
      </c>
      <c r="B40" s="674"/>
      <c r="C40" s="675"/>
      <c r="D40" s="676"/>
      <c r="E40" s="677"/>
      <c r="F40" s="164" t="str">
        <f t="shared" si="0"/>
        <v/>
      </c>
      <c r="G40" s="677"/>
      <c r="H40" s="51"/>
      <c r="I40" s="171" t="str">
        <f>IF(G40="S",IF(H40=3,1,IF(H40=2,0.6,IF(H40=1,0.3,0))),"")</f>
        <v/>
      </c>
      <c r="J40" s="51"/>
      <c r="K40" s="51"/>
      <c r="L40" s="51"/>
      <c r="M40" s="51"/>
      <c r="N40" s="51"/>
      <c r="O40" s="171" t="str">
        <f t="shared" si="2"/>
        <v/>
      </c>
      <c r="P40" s="51"/>
      <c r="Q40" s="51"/>
      <c r="R40" s="51"/>
      <c r="S40" s="51"/>
      <c r="T40" s="51"/>
      <c r="U40" s="171" t="str">
        <f>IF(AND($F40=1,P40="S"),IF(Q40=3,1,IF(Q40=2,0.6,IF(Q40=1,0.3,0))),"")</f>
        <v/>
      </c>
      <c r="V40" s="335"/>
      <c r="W40" s="335"/>
      <c r="X40" s="171" t="str">
        <f>IF($F40=1,IF(V40=3,1,IF(V40=2,0.6,IF(V40=1,0.3,0))),"")</f>
        <v/>
      </c>
      <c r="Y40" s="336" t="str">
        <f>IF(NOT(ISBLANK(D40)),IF(OR(ISNUMBER(I40),ISNUMBER(O40),ISNUMBER(U40),ISNUMBER(X40)),AVERAGE(I40,O40,U40,X40),0),"")</f>
        <v/>
      </c>
      <c r="Z40" s="329"/>
      <c r="AA40" s="337"/>
      <c r="AB40" s="337"/>
      <c r="AC40" s="337"/>
      <c r="AD40" s="337"/>
      <c r="AE40" s="337"/>
      <c r="AF40" s="337"/>
      <c r="AG40" s="338"/>
      <c r="AH40" s="243"/>
    </row>
    <row r="41" spans="1:34" ht="18.95" customHeight="1" x14ac:dyDescent="0.25">
      <c r="A41" s="311">
        <v>8</v>
      </c>
      <c r="B41" s="674"/>
      <c r="C41" s="675"/>
      <c r="D41" s="676"/>
      <c r="E41" s="677"/>
      <c r="F41" s="164" t="str">
        <f t="shared" si="0"/>
        <v/>
      </c>
      <c r="G41" s="677"/>
      <c r="H41" s="51"/>
      <c r="I41" s="171" t="str">
        <f t="shared" ref="I41:I44" si="19">IF(G41="S",IF(H41=3,1,IF(H41=2,0.6,IF(H41=1,0.3,0))),"")</f>
        <v/>
      </c>
      <c r="J41" s="51"/>
      <c r="K41" s="51"/>
      <c r="L41" s="51"/>
      <c r="M41" s="51"/>
      <c r="N41" s="51"/>
      <c r="O41" s="171" t="str">
        <f t="shared" si="2"/>
        <v/>
      </c>
      <c r="P41" s="51"/>
      <c r="Q41" s="51"/>
      <c r="R41" s="51"/>
      <c r="S41" s="51"/>
      <c r="T41" s="51"/>
      <c r="U41" s="171" t="str">
        <f t="shared" ref="U41:U44" si="20">IF(AND($F41=1,P41="S"),IF(Q41=3,1,IF(Q41=2,0.6,IF(Q41=1,0.3,0))),"")</f>
        <v/>
      </c>
      <c r="V41" s="335"/>
      <c r="W41" s="335"/>
      <c r="X41" s="171" t="str">
        <f t="shared" ref="X41:X44" si="21">IF($F41=1,IF(V41=3,1,IF(V41=2,0.6,IF(V41=1,0.3,0))),"")</f>
        <v/>
      </c>
      <c r="Y41" s="336" t="str">
        <f t="shared" ref="Y41:Y44" si="22">IF(NOT(ISBLANK(D41)),IF(OR(ISNUMBER(I41),ISNUMBER(O41),ISNUMBER(U41),ISNUMBER(X41)),AVERAGE(I41,O41,U41,X41),0),"")</f>
        <v/>
      </c>
      <c r="Z41" s="329"/>
      <c r="AA41" s="337"/>
      <c r="AB41" s="337"/>
      <c r="AC41" s="337"/>
      <c r="AD41" s="337"/>
      <c r="AE41" s="337"/>
      <c r="AF41" s="337"/>
      <c r="AG41" s="338"/>
      <c r="AH41" s="243"/>
    </row>
    <row r="42" spans="1:34" ht="21.95" customHeight="1" x14ac:dyDescent="0.25">
      <c r="A42" s="311">
        <v>8</v>
      </c>
      <c r="B42" s="674"/>
      <c r="C42" s="675"/>
      <c r="D42" s="676"/>
      <c r="E42" s="677"/>
      <c r="F42" s="164" t="str">
        <f t="shared" si="0"/>
        <v/>
      </c>
      <c r="G42" s="677"/>
      <c r="H42" s="51"/>
      <c r="I42" s="171" t="str">
        <f t="shared" si="19"/>
        <v/>
      </c>
      <c r="J42" s="51"/>
      <c r="K42" s="51"/>
      <c r="L42" s="51"/>
      <c r="M42" s="51"/>
      <c r="N42" s="51"/>
      <c r="O42" s="171" t="str">
        <f t="shared" si="2"/>
        <v/>
      </c>
      <c r="P42" s="51"/>
      <c r="Q42" s="51"/>
      <c r="R42" s="51"/>
      <c r="S42" s="51"/>
      <c r="T42" s="51"/>
      <c r="U42" s="171" t="str">
        <f t="shared" si="20"/>
        <v/>
      </c>
      <c r="V42" s="335"/>
      <c r="W42" s="335"/>
      <c r="X42" s="171" t="str">
        <f t="shared" si="21"/>
        <v/>
      </c>
      <c r="Y42" s="336" t="str">
        <f t="shared" si="22"/>
        <v/>
      </c>
      <c r="Z42" s="329"/>
      <c r="AA42" s="337"/>
      <c r="AB42" s="337"/>
      <c r="AC42" s="337"/>
      <c r="AD42" s="337"/>
      <c r="AE42" s="337"/>
      <c r="AF42" s="337"/>
      <c r="AG42" s="338"/>
      <c r="AH42" s="243"/>
    </row>
    <row r="43" spans="1:34" ht="20.100000000000001" customHeight="1" x14ac:dyDescent="0.25">
      <c r="A43" s="311">
        <v>8</v>
      </c>
      <c r="B43" s="674"/>
      <c r="C43" s="675"/>
      <c r="D43" s="676"/>
      <c r="E43" s="677"/>
      <c r="F43" s="164" t="str">
        <f t="shared" si="0"/>
        <v/>
      </c>
      <c r="G43" s="677"/>
      <c r="H43" s="51"/>
      <c r="I43" s="171" t="str">
        <f t="shared" si="19"/>
        <v/>
      </c>
      <c r="J43" s="51"/>
      <c r="K43" s="51"/>
      <c r="L43" s="51"/>
      <c r="M43" s="51"/>
      <c r="N43" s="51"/>
      <c r="O43" s="171" t="str">
        <f t="shared" si="2"/>
        <v/>
      </c>
      <c r="P43" s="51"/>
      <c r="Q43" s="51"/>
      <c r="R43" s="51"/>
      <c r="S43" s="51"/>
      <c r="T43" s="51"/>
      <c r="U43" s="171" t="str">
        <f t="shared" si="20"/>
        <v/>
      </c>
      <c r="V43" s="335"/>
      <c r="W43" s="335"/>
      <c r="X43" s="171" t="str">
        <f t="shared" si="21"/>
        <v/>
      </c>
      <c r="Y43" s="336" t="str">
        <f t="shared" si="22"/>
        <v/>
      </c>
      <c r="Z43" s="329"/>
      <c r="AA43" s="337"/>
      <c r="AB43" s="337"/>
      <c r="AC43" s="337"/>
      <c r="AD43" s="337"/>
      <c r="AE43" s="337"/>
      <c r="AF43" s="337"/>
      <c r="AG43" s="338"/>
      <c r="AH43" s="243"/>
    </row>
    <row r="44" spans="1:34" ht="15.75" x14ac:dyDescent="0.25">
      <c r="A44" s="311">
        <v>8</v>
      </c>
      <c r="B44" s="674"/>
      <c r="C44" s="675"/>
      <c r="D44" s="676"/>
      <c r="E44" s="677"/>
      <c r="F44" s="164" t="str">
        <f t="shared" si="0"/>
        <v/>
      </c>
      <c r="G44" s="677"/>
      <c r="H44" s="51"/>
      <c r="I44" s="171" t="str">
        <f t="shared" si="19"/>
        <v/>
      </c>
      <c r="J44" s="51"/>
      <c r="K44" s="51"/>
      <c r="L44" s="51"/>
      <c r="M44" s="51"/>
      <c r="N44" s="51"/>
      <c r="O44" s="171" t="str">
        <f t="shared" si="2"/>
        <v/>
      </c>
      <c r="P44" s="51"/>
      <c r="Q44" s="51"/>
      <c r="R44" s="51"/>
      <c r="S44" s="51"/>
      <c r="T44" s="51"/>
      <c r="U44" s="171" t="str">
        <f t="shared" si="20"/>
        <v/>
      </c>
      <c r="V44" s="335"/>
      <c r="W44" s="335"/>
      <c r="X44" s="171" t="str">
        <f t="shared" si="21"/>
        <v/>
      </c>
      <c r="Y44" s="336" t="str">
        <f t="shared" si="22"/>
        <v/>
      </c>
      <c r="Z44" s="329"/>
      <c r="AA44" s="337"/>
      <c r="AB44" s="337"/>
      <c r="AC44" s="337"/>
      <c r="AD44" s="337"/>
      <c r="AE44" s="337"/>
      <c r="AF44" s="337"/>
      <c r="AG44" s="338"/>
      <c r="AH44" s="243"/>
    </row>
    <row r="45" spans="1:34" ht="15.75" x14ac:dyDescent="0.25">
      <c r="A45" s="311">
        <v>8</v>
      </c>
      <c r="B45" s="674"/>
      <c r="C45" s="675"/>
      <c r="D45" s="676"/>
      <c r="E45" s="677"/>
      <c r="F45" s="164" t="str">
        <f t="shared" si="0"/>
        <v/>
      </c>
      <c r="G45" s="677"/>
      <c r="H45" s="51"/>
      <c r="I45" s="171" t="str">
        <f t="shared" ref="I45:I69" si="23">IF(G45="S",IF(H45=3,1,IF(H45=2,0.6,IF(H45=1,0.3,0))),"")</f>
        <v/>
      </c>
      <c r="J45" s="51"/>
      <c r="K45" s="51"/>
      <c r="L45" s="51"/>
      <c r="M45" s="51"/>
      <c r="N45" s="51"/>
      <c r="O45" s="171" t="str">
        <f t="shared" si="2"/>
        <v/>
      </c>
      <c r="P45" s="51"/>
      <c r="Q45" s="51"/>
      <c r="R45" s="51"/>
      <c r="S45" s="51"/>
      <c r="T45" s="51"/>
      <c r="U45" s="171" t="str">
        <f t="shared" ref="U45:U69" si="24">IF(AND($F45=1,P45="S"),IF(Q45=3,1,IF(Q45=2,0.6,IF(Q45=1,0.3,0))),"")</f>
        <v/>
      </c>
      <c r="V45" s="335"/>
      <c r="W45" s="335"/>
      <c r="X45" s="171" t="str">
        <f t="shared" ref="X45:X69" si="25">IF($F45=1,IF(V45=3,1,IF(V45=2,0.6,IF(V45=1,0.3,0))),"")</f>
        <v/>
      </c>
      <c r="Y45" s="336" t="str">
        <f t="shared" ref="Y45:Y69" si="26">IF(NOT(ISBLANK(D45)),IF(OR(ISNUMBER(I45),ISNUMBER(O45),ISNUMBER(U45),ISNUMBER(X45)),AVERAGE(I45,O45,U45,X45),0),"")</f>
        <v/>
      </c>
      <c r="Z45" s="329"/>
      <c r="AA45" s="337"/>
      <c r="AB45" s="337"/>
      <c r="AC45" s="337"/>
      <c r="AD45" s="337"/>
      <c r="AE45" s="337"/>
      <c r="AF45" s="337"/>
      <c r="AG45" s="338"/>
      <c r="AH45" s="243"/>
    </row>
    <row r="46" spans="1:34" ht="15.75" x14ac:dyDescent="0.25">
      <c r="A46" s="311">
        <v>8</v>
      </c>
      <c r="B46" s="674"/>
      <c r="C46" s="675"/>
      <c r="D46" s="676"/>
      <c r="E46" s="677"/>
      <c r="F46" s="164" t="str">
        <f t="shared" si="0"/>
        <v/>
      </c>
      <c r="G46" s="677"/>
      <c r="H46" s="51"/>
      <c r="I46" s="171" t="str">
        <f t="shared" si="23"/>
        <v/>
      </c>
      <c r="J46" s="51"/>
      <c r="K46" s="51"/>
      <c r="L46" s="51"/>
      <c r="M46" s="51"/>
      <c r="N46" s="51"/>
      <c r="O46" s="171" t="str">
        <f t="shared" si="2"/>
        <v/>
      </c>
      <c r="P46" s="51"/>
      <c r="Q46" s="51"/>
      <c r="R46" s="51"/>
      <c r="S46" s="51"/>
      <c r="T46" s="51"/>
      <c r="U46" s="171" t="str">
        <f t="shared" si="24"/>
        <v/>
      </c>
      <c r="V46" s="335"/>
      <c r="W46" s="335"/>
      <c r="X46" s="171" t="str">
        <f t="shared" si="25"/>
        <v/>
      </c>
      <c r="Y46" s="336" t="str">
        <f t="shared" si="26"/>
        <v/>
      </c>
      <c r="Z46" s="329"/>
      <c r="AA46" s="337"/>
      <c r="AB46" s="337"/>
      <c r="AC46" s="337"/>
      <c r="AD46" s="337"/>
      <c r="AE46" s="337"/>
      <c r="AF46" s="337"/>
      <c r="AG46" s="338"/>
      <c r="AH46" s="243"/>
    </row>
    <row r="47" spans="1:34" ht="15.75" x14ac:dyDescent="0.25">
      <c r="A47" s="311">
        <v>8</v>
      </c>
      <c r="B47" s="674"/>
      <c r="C47" s="675"/>
      <c r="D47" s="676"/>
      <c r="E47" s="677"/>
      <c r="F47" s="164" t="str">
        <f t="shared" si="0"/>
        <v/>
      </c>
      <c r="G47" s="677"/>
      <c r="H47" s="51"/>
      <c r="I47" s="171" t="str">
        <f>IF(G47="S",IF(H47=3,1,IF(H47=2,0.6,IF(H47=1,0.3,0))),"")</f>
        <v/>
      </c>
      <c r="J47" s="51"/>
      <c r="K47" s="51"/>
      <c r="L47" s="51"/>
      <c r="M47" s="51"/>
      <c r="N47" s="51"/>
      <c r="O47" s="171" t="str">
        <f t="shared" si="2"/>
        <v/>
      </c>
      <c r="P47" s="51"/>
      <c r="Q47" s="51"/>
      <c r="R47" s="51"/>
      <c r="S47" s="51"/>
      <c r="T47" s="51"/>
      <c r="U47" s="171" t="str">
        <f>IF(AND($F47=1,P47="S"),IF(Q47=3,1,IF(Q47=2,0.6,IF(Q47=1,0.3,0))),"")</f>
        <v/>
      </c>
      <c r="V47" s="335"/>
      <c r="W47" s="335"/>
      <c r="X47" s="171" t="str">
        <f>IF($F47=1,IF(V47=3,1,IF(V47=2,0.6,IF(V47=1,0.3,0))),"")</f>
        <v/>
      </c>
      <c r="Y47" s="336" t="str">
        <f>IF(NOT(ISBLANK(D47)),IF(OR(ISNUMBER(I47),ISNUMBER(O47),ISNUMBER(U47),ISNUMBER(X47)),AVERAGE(I47,O47,U47,X47),0),"")</f>
        <v/>
      </c>
      <c r="Z47" s="329"/>
      <c r="AA47" s="337"/>
      <c r="AB47" s="337"/>
      <c r="AC47" s="337"/>
      <c r="AD47" s="337"/>
      <c r="AE47" s="337"/>
      <c r="AF47" s="337"/>
      <c r="AG47" s="338"/>
      <c r="AH47" s="243"/>
    </row>
    <row r="48" spans="1:34" ht="20.100000000000001" customHeight="1" x14ac:dyDescent="0.25">
      <c r="A48" s="311">
        <v>8</v>
      </c>
      <c r="B48" s="674"/>
      <c r="C48" s="675"/>
      <c r="D48" s="676"/>
      <c r="E48" s="677"/>
      <c r="F48" s="164" t="str">
        <f t="shared" si="0"/>
        <v/>
      </c>
      <c r="G48" s="677"/>
      <c r="H48" s="51"/>
      <c r="I48" s="171" t="str">
        <f>IF(G48="S",IF(H48=3,1,IF(H48=2,0.6,IF(H48=1,0.3,0))),"")</f>
        <v/>
      </c>
      <c r="J48" s="51"/>
      <c r="K48" s="51"/>
      <c r="L48" s="51"/>
      <c r="M48" s="51"/>
      <c r="N48" s="51"/>
      <c r="O48" s="171" t="str">
        <f t="shared" si="2"/>
        <v/>
      </c>
      <c r="P48" s="51"/>
      <c r="Q48" s="51"/>
      <c r="R48" s="51"/>
      <c r="S48" s="51"/>
      <c r="T48" s="51"/>
      <c r="U48" s="171" t="str">
        <f>IF(AND($F48=1,P48="S"),IF(Q48=3,1,IF(Q48=2,0.6,IF(Q48=1,0.3,0))),"")</f>
        <v/>
      </c>
      <c r="V48" s="335"/>
      <c r="W48" s="335"/>
      <c r="X48" s="171" t="str">
        <f>IF($F48=1,IF(V48=3,1,IF(V48=2,0.6,IF(V48=1,0.3,0))),"")</f>
        <v/>
      </c>
      <c r="Y48" s="336" t="str">
        <f>IF(NOT(ISBLANK(D48)),IF(OR(ISNUMBER(I48),ISNUMBER(O48),ISNUMBER(U48),ISNUMBER(X48)),AVERAGE(I48,O48,U48,X48),0),"")</f>
        <v/>
      </c>
      <c r="Z48" s="329"/>
      <c r="AA48" s="337"/>
      <c r="AB48" s="337"/>
      <c r="AC48" s="337"/>
      <c r="AD48" s="337"/>
      <c r="AE48" s="337"/>
      <c r="AF48" s="337"/>
      <c r="AG48" s="338"/>
      <c r="AH48" s="243"/>
    </row>
    <row r="49" spans="1:175" ht="15.75" x14ac:dyDescent="0.25">
      <c r="A49" s="311">
        <v>8</v>
      </c>
      <c r="B49" s="674"/>
      <c r="C49" s="675"/>
      <c r="D49" s="676"/>
      <c r="E49" s="677"/>
      <c r="F49" s="164" t="str">
        <f t="shared" si="0"/>
        <v/>
      </c>
      <c r="G49" s="677"/>
      <c r="H49" s="51"/>
      <c r="I49" s="171" t="str">
        <f>IF(G49="S",IF(H49=3,1,IF(H49=2,0.6,IF(H49=1,0.3,0))),"")</f>
        <v/>
      </c>
      <c r="J49" s="51"/>
      <c r="K49" s="51"/>
      <c r="L49" s="51"/>
      <c r="M49" s="51"/>
      <c r="N49" s="51"/>
      <c r="O49" s="171" t="str">
        <f t="shared" si="2"/>
        <v/>
      </c>
      <c r="P49" s="51"/>
      <c r="Q49" s="51"/>
      <c r="R49" s="51"/>
      <c r="S49" s="51"/>
      <c r="T49" s="51"/>
      <c r="U49" s="171" t="str">
        <f>IF(AND($F49=1,P49="S"),IF(Q49=3,1,IF(Q49=2,0.6,IF(Q49=1,0.3,0))),"")</f>
        <v/>
      </c>
      <c r="V49" s="335"/>
      <c r="W49" s="335"/>
      <c r="X49" s="171" t="str">
        <f>IF($F49=1,IF(V49=3,1,IF(V49=2,0.6,IF(V49=1,0.3,0))),"")</f>
        <v/>
      </c>
      <c r="Y49" s="336" t="str">
        <f>IF(NOT(ISBLANK(D49)),IF(OR(ISNUMBER(I49),ISNUMBER(O49),ISNUMBER(U49),ISNUMBER(X49)),AVERAGE(I49,O49,U49,X49),0),"")</f>
        <v/>
      </c>
      <c r="Z49" s="329"/>
      <c r="AA49" s="337"/>
      <c r="AB49" s="337"/>
      <c r="AC49" s="337"/>
      <c r="AD49" s="337"/>
      <c r="AE49" s="337"/>
      <c r="AF49" s="337"/>
      <c r="AG49" s="338"/>
      <c r="AH49" s="243"/>
    </row>
    <row r="50" spans="1:175" ht="15.75" x14ac:dyDescent="0.25">
      <c r="A50" s="311">
        <v>8</v>
      </c>
      <c r="B50" s="674"/>
      <c r="C50" s="675"/>
      <c r="D50" s="676"/>
      <c r="E50" s="677"/>
      <c r="F50" s="164" t="str">
        <f t="shared" si="0"/>
        <v/>
      </c>
      <c r="G50" s="677"/>
      <c r="H50" s="51"/>
      <c r="I50" s="171" t="str">
        <f>IF(G50="S",IF(H50=3,1,IF(H50=2,0.6,IF(H50=1,0.3,0))),"")</f>
        <v/>
      </c>
      <c r="J50" s="51"/>
      <c r="K50" s="51"/>
      <c r="L50" s="51"/>
      <c r="M50" s="51"/>
      <c r="N50" s="51"/>
      <c r="O50" s="171" t="str">
        <f t="shared" si="2"/>
        <v/>
      </c>
      <c r="P50" s="51"/>
      <c r="Q50" s="51"/>
      <c r="R50" s="51"/>
      <c r="S50" s="51"/>
      <c r="T50" s="51"/>
      <c r="U50" s="171" t="str">
        <f>IF(AND($F50=1,P50="S"),IF(Q50=3,1,IF(Q50=2,0.6,IF(Q50=1,0.3,0))),"")</f>
        <v/>
      </c>
      <c r="V50" s="335"/>
      <c r="W50" s="335"/>
      <c r="X50" s="171" t="str">
        <f>IF($F50=1,IF(V50=3,1,IF(V50=2,0.6,IF(V50=1,0.3,0))),"")</f>
        <v/>
      </c>
      <c r="Y50" s="336" t="str">
        <f>IF(NOT(ISBLANK(D50)),IF(OR(ISNUMBER(I50),ISNUMBER(O50),ISNUMBER(U50),ISNUMBER(X50)),AVERAGE(I50,O50,U50,X50),0),"")</f>
        <v/>
      </c>
      <c r="Z50" s="329"/>
      <c r="AA50" s="337"/>
      <c r="AB50" s="337"/>
      <c r="AC50" s="337"/>
      <c r="AD50" s="337"/>
      <c r="AE50" s="337"/>
      <c r="AF50" s="337"/>
      <c r="AG50" s="338"/>
      <c r="AH50" s="243"/>
    </row>
    <row r="51" spans="1:175" ht="15.75" x14ac:dyDescent="0.25">
      <c r="A51" s="311">
        <v>8</v>
      </c>
      <c r="B51" s="674"/>
      <c r="C51" s="675"/>
      <c r="D51" s="676"/>
      <c r="E51" s="677"/>
      <c r="F51" s="164" t="str">
        <f t="shared" si="0"/>
        <v/>
      </c>
      <c r="G51" s="677"/>
      <c r="H51" s="51"/>
      <c r="I51" s="171" t="str">
        <f>IF(G51="S",IF(H51=3,1,IF(H51=2,0.6,IF(H51=1,0.3,0))),"")</f>
        <v/>
      </c>
      <c r="J51" s="51"/>
      <c r="K51" s="51"/>
      <c r="L51" s="51"/>
      <c r="M51" s="51"/>
      <c r="N51" s="51"/>
      <c r="O51" s="171" t="str">
        <f t="shared" si="2"/>
        <v/>
      </c>
      <c r="P51" s="51"/>
      <c r="Q51" s="51"/>
      <c r="R51" s="51"/>
      <c r="S51" s="51"/>
      <c r="T51" s="51"/>
      <c r="U51" s="171" t="str">
        <f>IF(AND($F51=1,P51="S"),IF(Q51=3,1,IF(Q51=2,0.6,IF(Q51=1,0.3,0))),"")</f>
        <v/>
      </c>
      <c r="V51" s="335"/>
      <c r="W51" s="335"/>
      <c r="X51" s="171" t="str">
        <f>IF($F51=1,IF(V51=3,1,IF(V51=2,0.6,IF(V51=1,0.3,0))),"")</f>
        <v/>
      </c>
      <c r="Y51" s="336" t="str">
        <f>IF(NOT(ISBLANK(D51)),IF(OR(ISNUMBER(I51),ISNUMBER(O51),ISNUMBER(U51),ISNUMBER(X51)),AVERAGE(I51,O51,U51,X51),0),"")</f>
        <v/>
      </c>
      <c r="Z51" s="329"/>
      <c r="AA51" s="337"/>
      <c r="AB51" s="337"/>
      <c r="AC51" s="337"/>
      <c r="AD51" s="337"/>
      <c r="AE51" s="337"/>
      <c r="AF51" s="337"/>
      <c r="AG51" s="338"/>
      <c r="AH51" s="243"/>
    </row>
    <row r="52" spans="1:175" ht="15.75" x14ac:dyDescent="0.25">
      <c r="A52" s="311">
        <v>8</v>
      </c>
      <c r="B52" s="674"/>
      <c r="C52" s="675"/>
      <c r="D52" s="676"/>
      <c r="E52" s="677"/>
      <c r="F52" s="164" t="str">
        <f t="shared" si="0"/>
        <v/>
      </c>
      <c r="G52" s="677"/>
      <c r="H52" s="51"/>
      <c r="I52" s="171" t="str">
        <f t="shared" si="23"/>
        <v/>
      </c>
      <c r="J52" s="51"/>
      <c r="K52" s="51"/>
      <c r="L52" s="51"/>
      <c r="M52" s="51"/>
      <c r="N52" s="51"/>
      <c r="O52" s="171" t="str">
        <f t="shared" si="2"/>
        <v/>
      </c>
      <c r="P52" s="51"/>
      <c r="Q52" s="51"/>
      <c r="R52" s="51"/>
      <c r="S52" s="51"/>
      <c r="T52" s="51"/>
      <c r="U52" s="171" t="str">
        <f t="shared" si="24"/>
        <v/>
      </c>
      <c r="V52" s="335"/>
      <c r="W52" s="335"/>
      <c r="X52" s="171" t="str">
        <f t="shared" si="25"/>
        <v/>
      </c>
      <c r="Y52" s="336" t="str">
        <f t="shared" si="26"/>
        <v/>
      </c>
      <c r="Z52" s="329"/>
      <c r="AA52" s="337"/>
      <c r="AB52" s="337"/>
      <c r="AC52" s="337"/>
      <c r="AD52" s="337"/>
      <c r="AE52" s="337"/>
      <c r="AF52" s="337"/>
      <c r="AG52" s="338"/>
      <c r="AH52" s="243"/>
    </row>
    <row r="53" spans="1:175" ht="20.85" customHeight="1" x14ac:dyDescent="0.25">
      <c r="A53" s="311">
        <v>8</v>
      </c>
      <c r="B53" s="674"/>
      <c r="C53" s="675"/>
      <c r="D53" s="676"/>
      <c r="E53" s="677"/>
      <c r="F53" s="164" t="str">
        <f t="shared" si="0"/>
        <v/>
      </c>
      <c r="G53" s="677"/>
      <c r="H53" s="51"/>
      <c r="I53" s="171" t="str">
        <f t="shared" si="23"/>
        <v/>
      </c>
      <c r="J53" s="51"/>
      <c r="K53" s="51"/>
      <c r="L53" s="51"/>
      <c r="M53" s="51"/>
      <c r="N53" s="51"/>
      <c r="O53" s="171" t="str">
        <f t="shared" si="2"/>
        <v/>
      </c>
      <c r="P53" s="51"/>
      <c r="Q53" s="51"/>
      <c r="R53" s="51"/>
      <c r="S53" s="51"/>
      <c r="T53" s="51"/>
      <c r="U53" s="171" t="str">
        <f t="shared" si="24"/>
        <v/>
      </c>
      <c r="V53" s="335"/>
      <c r="W53" s="335"/>
      <c r="X53" s="171" t="str">
        <f t="shared" si="25"/>
        <v/>
      </c>
      <c r="Y53" s="336" t="str">
        <f t="shared" si="26"/>
        <v/>
      </c>
      <c r="Z53" s="329"/>
      <c r="AA53" s="337"/>
      <c r="AB53" s="297"/>
      <c r="AC53" s="337"/>
      <c r="AD53" s="337"/>
      <c r="AE53" s="337"/>
      <c r="AF53" s="337"/>
      <c r="AG53" s="338"/>
      <c r="AH53" s="243"/>
    </row>
    <row r="54" spans="1:175" ht="18.95" customHeight="1" x14ac:dyDescent="0.25">
      <c r="A54" s="311">
        <v>8</v>
      </c>
      <c r="B54" s="674"/>
      <c r="C54" s="675"/>
      <c r="D54" s="676"/>
      <c r="E54" s="677"/>
      <c r="F54" s="164" t="str">
        <f t="shared" si="0"/>
        <v/>
      </c>
      <c r="G54" s="677"/>
      <c r="H54" s="51"/>
      <c r="I54" s="171" t="str">
        <f>IF(G54="S",IF(H54=3,1,IF(H54=2,0.6,IF(H54=1,0.3,0))),"")</f>
        <v/>
      </c>
      <c r="J54" s="51"/>
      <c r="K54" s="51"/>
      <c r="L54" s="51"/>
      <c r="M54" s="51"/>
      <c r="N54" s="51"/>
      <c r="O54" s="171" t="str">
        <f t="shared" si="2"/>
        <v/>
      </c>
      <c r="P54" s="51"/>
      <c r="Q54" s="51"/>
      <c r="R54" s="51"/>
      <c r="S54" s="51"/>
      <c r="T54" s="51"/>
      <c r="U54" s="171" t="str">
        <f>IF(AND($F54=1,P54="S"),IF(Q54=3,1,IF(Q54=2,0.6,IF(Q54=1,0.3,0))),"")</f>
        <v/>
      </c>
      <c r="V54" s="335"/>
      <c r="W54" s="335"/>
      <c r="X54" s="171" t="str">
        <f>IF($F54=1,IF(V54=3,1,IF(V54=2,0.6,IF(V54=1,0.3,0))),"")</f>
        <v/>
      </c>
      <c r="Y54" s="336" t="str">
        <f>IF(NOT(ISBLANK(D54)),IF(OR(ISNUMBER(I54),ISNUMBER(O54),ISNUMBER(U54),ISNUMBER(X54)),AVERAGE(I54,O54,U54,X54),0),"")</f>
        <v/>
      </c>
      <c r="Z54" s="329"/>
      <c r="AA54" s="337"/>
      <c r="AB54" s="337"/>
      <c r="AC54" s="337"/>
      <c r="AD54" s="337"/>
      <c r="AE54" s="337"/>
      <c r="AF54" s="337"/>
      <c r="AG54" s="338"/>
      <c r="AH54" s="243"/>
    </row>
    <row r="55" spans="1:175" ht="21.95" customHeight="1" x14ac:dyDescent="0.25">
      <c r="A55" s="311">
        <v>8</v>
      </c>
      <c r="B55" s="674"/>
      <c r="C55" s="675"/>
      <c r="D55" s="676"/>
      <c r="E55" s="677"/>
      <c r="F55" s="164" t="str">
        <f t="shared" si="0"/>
        <v/>
      </c>
      <c r="G55" s="677"/>
      <c r="H55" s="51"/>
      <c r="I55" s="171" t="str">
        <f>IF(G55="S",IF(H55=3,1,IF(H55=2,0.6,IF(H55=1,0.3,0))),"")</f>
        <v/>
      </c>
      <c r="J55" s="51"/>
      <c r="K55" s="51"/>
      <c r="L55" s="51"/>
      <c r="M55" s="51"/>
      <c r="N55" s="51"/>
      <c r="O55" s="171" t="str">
        <f t="shared" si="2"/>
        <v/>
      </c>
      <c r="P55" s="51"/>
      <c r="Q55" s="51"/>
      <c r="R55" s="51"/>
      <c r="S55" s="51"/>
      <c r="T55" s="51"/>
      <c r="U55" s="171" t="str">
        <f>IF(AND($F55=1,P55="S"),IF(Q55=3,1,IF(Q55=2,0.6,IF(Q55=1,0.3,0))),"")</f>
        <v/>
      </c>
      <c r="V55" s="335"/>
      <c r="W55" s="335"/>
      <c r="X55" s="171" t="str">
        <f>IF($F55=1,IF(V55=3,1,IF(V55=2,0.6,IF(V55=1,0.3,0))),"")</f>
        <v/>
      </c>
      <c r="Y55" s="336" t="str">
        <f>IF(NOT(ISBLANK(D55)),IF(OR(ISNUMBER(I55),ISNUMBER(O55),ISNUMBER(U55),ISNUMBER(X55)),AVERAGE(I55,O55,U55,X55),0),"")</f>
        <v/>
      </c>
      <c r="Z55" s="329"/>
      <c r="AA55" s="337"/>
      <c r="AB55" s="337"/>
      <c r="AC55" s="337"/>
      <c r="AD55" s="337"/>
      <c r="AE55" s="337"/>
      <c r="AF55" s="337"/>
      <c r="AG55" s="338"/>
      <c r="AH55" s="243"/>
    </row>
    <row r="56" spans="1:175" ht="20.100000000000001" customHeight="1" x14ac:dyDescent="0.25">
      <c r="A56" s="311">
        <v>8</v>
      </c>
      <c r="B56" s="674"/>
      <c r="C56" s="675"/>
      <c r="D56" s="676"/>
      <c r="E56" s="677"/>
      <c r="F56" s="164" t="str">
        <f t="shared" si="0"/>
        <v/>
      </c>
      <c r="G56" s="677"/>
      <c r="H56" s="51"/>
      <c r="I56" s="171" t="str">
        <f>IF(G56="S",IF(H56=3,1,IF(H56=2,0.6,IF(H56=1,0.3,0))),"")</f>
        <v/>
      </c>
      <c r="J56" s="51"/>
      <c r="K56" s="51"/>
      <c r="L56" s="51"/>
      <c r="M56" s="51"/>
      <c r="N56" s="51"/>
      <c r="O56" s="171" t="str">
        <f t="shared" si="2"/>
        <v/>
      </c>
      <c r="P56" s="51"/>
      <c r="Q56" s="51"/>
      <c r="R56" s="51"/>
      <c r="S56" s="51"/>
      <c r="T56" s="51"/>
      <c r="U56" s="171" t="str">
        <f>IF(AND($F56=1,P56="S"),IF(Q56=3,1,IF(Q56=2,0.6,IF(Q56=1,0.3,0))),"")</f>
        <v/>
      </c>
      <c r="V56" s="335"/>
      <c r="W56" s="335"/>
      <c r="X56" s="171" t="str">
        <f>IF($F56=1,IF(V56=3,1,IF(V56=2,0.6,IF(V56=1,0.3,0))),"")</f>
        <v/>
      </c>
      <c r="Y56" s="336" t="str">
        <f>IF(NOT(ISBLANK(D56)),IF(OR(ISNUMBER(I56),ISNUMBER(O56),ISNUMBER(U56),ISNUMBER(X56)),AVERAGE(I56,O56,U56,X56),0),"")</f>
        <v/>
      </c>
      <c r="Z56" s="329"/>
      <c r="AA56" s="337"/>
      <c r="AB56" s="337"/>
      <c r="AC56" s="337"/>
      <c r="AD56" s="337"/>
      <c r="AE56" s="337"/>
      <c r="AF56" s="337"/>
      <c r="AG56" s="338"/>
      <c r="AH56" s="243"/>
    </row>
    <row r="57" spans="1:175" ht="15.75" x14ac:dyDescent="0.25">
      <c r="A57" s="311">
        <v>8</v>
      </c>
      <c r="B57" s="674"/>
      <c r="C57" s="675"/>
      <c r="D57" s="676"/>
      <c r="E57" s="677"/>
      <c r="F57" s="164" t="str">
        <f t="shared" si="0"/>
        <v/>
      </c>
      <c r="G57" s="677"/>
      <c r="H57" s="51"/>
      <c r="I57" s="171" t="str">
        <f>IF(G57="S",IF(H57=3,1,IF(H57=2,0.6,IF(H57=1,0.3,0))),"")</f>
        <v/>
      </c>
      <c r="J57" s="51"/>
      <c r="K57" s="51"/>
      <c r="L57" s="51"/>
      <c r="M57" s="51"/>
      <c r="N57" s="51"/>
      <c r="O57" s="171" t="str">
        <f t="shared" si="2"/>
        <v/>
      </c>
      <c r="P57" s="51"/>
      <c r="Q57" s="51"/>
      <c r="R57" s="51"/>
      <c r="S57" s="51"/>
      <c r="T57" s="51"/>
      <c r="U57" s="171" t="str">
        <f>IF(AND($F57=1,P57="S"),IF(Q57=3,1,IF(Q57=2,0.6,IF(Q57=1,0.3,0))),"")</f>
        <v/>
      </c>
      <c r="V57" s="335"/>
      <c r="W57" s="335"/>
      <c r="X57" s="171" t="str">
        <f>IF($F57=1,IF(V57=3,1,IF(V57=2,0.6,IF(V57=1,0.3,0))),"")</f>
        <v/>
      </c>
      <c r="Y57" s="336" t="str">
        <f>IF(NOT(ISBLANK(D57)),IF(OR(ISNUMBER(I57),ISNUMBER(O57),ISNUMBER(U57),ISNUMBER(X57)),AVERAGE(I57,O57,U57,X57),0),"")</f>
        <v/>
      </c>
      <c r="Z57" s="329"/>
      <c r="AA57" s="337"/>
      <c r="AB57" s="337"/>
      <c r="AC57" s="337"/>
      <c r="AD57" s="337"/>
      <c r="AE57" s="337"/>
      <c r="AF57" s="337"/>
      <c r="AG57" s="338"/>
      <c r="AH57" s="243"/>
    </row>
    <row r="58" spans="1:175" ht="18.95" customHeight="1" x14ac:dyDescent="0.25">
      <c r="A58" s="311">
        <v>8</v>
      </c>
      <c r="B58" s="674"/>
      <c r="C58" s="675"/>
      <c r="D58" s="676"/>
      <c r="E58" s="677"/>
      <c r="F58" s="164" t="str">
        <f t="shared" si="0"/>
        <v/>
      </c>
      <c r="G58" s="677"/>
      <c r="H58" s="51"/>
      <c r="I58" s="171" t="str">
        <f t="shared" ref="I58:I62" si="27">IF(G58="S",IF(H58=3,1,IF(H58=2,0.6,IF(H58=1,0.3,0))),"")</f>
        <v/>
      </c>
      <c r="J58" s="51"/>
      <c r="K58" s="51"/>
      <c r="L58" s="51"/>
      <c r="M58" s="51"/>
      <c r="N58" s="51"/>
      <c r="O58" s="171" t="str">
        <f t="shared" si="2"/>
        <v/>
      </c>
      <c r="P58" s="51"/>
      <c r="Q58" s="51"/>
      <c r="R58" s="51"/>
      <c r="S58" s="51"/>
      <c r="T58" s="51"/>
      <c r="U58" s="171" t="str">
        <f t="shared" ref="U58:U62" si="28">IF(AND($F58=1,P58="S"),IF(Q58=3,1,IF(Q58=2,0.6,IF(Q58=1,0.3,0))),"")</f>
        <v/>
      </c>
      <c r="V58" s="335"/>
      <c r="W58" s="335"/>
      <c r="X58" s="171" t="str">
        <f t="shared" ref="X58:X62" si="29">IF($F58=1,IF(V58=3,1,IF(V58=2,0.6,IF(V58=1,0.3,0))),"")</f>
        <v/>
      </c>
      <c r="Y58" s="336" t="str">
        <f t="shared" ref="Y58:Y62" si="30">IF(NOT(ISBLANK(D58)),IF(OR(ISNUMBER(I58),ISNUMBER(O58),ISNUMBER(U58),ISNUMBER(X58)),AVERAGE(I58,O58,U58,X58),0),"")</f>
        <v/>
      </c>
      <c r="Z58" s="329"/>
      <c r="AA58" s="337"/>
      <c r="AB58" s="337"/>
      <c r="AC58" s="337"/>
      <c r="AD58" s="337"/>
      <c r="AE58" s="337"/>
      <c r="AF58" s="337"/>
      <c r="AG58" s="338"/>
      <c r="AH58" s="243"/>
    </row>
    <row r="59" spans="1:175" ht="21.95" customHeight="1" x14ac:dyDescent="0.25">
      <c r="A59" s="311">
        <v>8</v>
      </c>
      <c r="B59" s="674"/>
      <c r="C59" s="675"/>
      <c r="D59" s="676"/>
      <c r="E59" s="677"/>
      <c r="F59" s="164" t="str">
        <f t="shared" si="0"/>
        <v/>
      </c>
      <c r="G59" s="677"/>
      <c r="H59" s="51"/>
      <c r="I59" s="171" t="str">
        <f t="shared" si="27"/>
        <v/>
      </c>
      <c r="J59" s="51"/>
      <c r="K59" s="51"/>
      <c r="L59" s="51"/>
      <c r="M59" s="51"/>
      <c r="N59" s="51"/>
      <c r="O59" s="171" t="str">
        <f t="shared" si="2"/>
        <v/>
      </c>
      <c r="P59" s="51"/>
      <c r="Q59" s="51"/>
      <c r="R59" s="51"/>
      <c r="S59" s="51"/>
      <c r="T59" s="51"/>
      <c r="U59" s="171" t="str">
        <f t="shared" si="28"/>
        <v/>
      </c>
      <c r="V59" s="335"/>
      <c r="W59" s="335"/>
      <c r="X59" s="171" t="str">
        <f t="shared" si="29"/>
        <v/>
      </c>
      <c r="Y59" s="336" t="str">
        <f t="shared" si="30"/>
        <v/>
      </c>
      <c r="Z59" s="329"/>
      <c r="AA59" s="337"/>
      <c r="AB59" s="337"/>
      <c r="AC59" s="337"/>
      <c r="AD59" s="337"/>
      <c r="AE59" s="337"/>
      <c r="AF59" s="337"/>
      <c r="AG59" s="338"/>
      <c r="AH59" s="243"/>
    </row>
    <row r="60" spans="1:175" ht="20.100000000000001" customHeight="1" x14ac:dyDescent="0.25">
      <c r="A60" s="311">
        <v>8</v>
      </c>
      <c r="B60" s="674"/>
      <c r="C60" s="675"/>
      <c r="D60" s="676"/>
      <c r="E60" s="677"/>
      <c r="F60" s="164" t="str">
        <f t="shared" si="0"/>
        <v/>
      </c>
      <c r="G60" s="677"/>
      <c r="H60" s="51"/>
      <c r="I60" s="171" t="str">
        <f t="shared" si="27"/>
        <v/>
      </c>
      <c r="J60" s="51"/>
      <c r="K60" s="51"/>
      <c r="L60" s="51"/>
      <c r="M60" s="51"/>
      <c r="N60" s="51"/>
      <c r="O60" s="171" t="str">
        <f t="shared" si="2"/>
        <v/>
      </c>
      <c r="P60" s="51"/>
      <c r="Q60" s="51"/>
      <c r="R60" s="51"/>
      <c r="S60" s="51"/>
      <c r="T60" s="51"/>
      <c r="U60" s="171" t="str">
        <f t="shared" si="28"/>
        <v/>
      </c>
      <c r="V60" s="335"/>
      <c r="W60" s="335"/>
      <c r="X60" s="171" t="str">
        <f t="shared" si="29"/>
        <v/>
      </c>
      <c r="Y60" s="336" t="str">
        <f t="shared" si="30"/>
        <v/>
      </c>
      <c r="Z60" s="329"/>
      <c r="AA60" s="337"/>
      <c r="AB60" s="337"/>
      <c r="AC60" s="337"/>
      <c r="AD60" s="337"/>
      <c r="AE60" s="337"/>
      <c r="AF60" s="337"/>
      <c r="AG60" s="338"/>
      <c r="AH60" s="243"/>
    </row>
    <row r="61" spans="1:175" ht="15.75" x14ac:dyDescent="0.25">
      <c r="A61" s="311">
        <v>8</v>
      </c>
      <c r="B61" s="674"/>
      <c r="C61" s="675"/>
      <c r="D61" s="676"/>
      <c r="E61" s="677"/>
      <c r="F61" s="164" t="str">
        <f t="shared" si="0"/>
        <v/>
      </c>
      <c r="G61" s="677"/>
      <c r="H61" s="51"/>
      <c r="I61" s="171" t="str">
        <f t="shared" si="27"/>
        <v/>
      </c>
      <c r="J61" s="51"/>
      <c r="K61" s="51"/>
      <c r="L61" s="51"/>
      <c r="M61" s="51"/>
      <c r="N61" s="51"/>
      <c r="O61" s="171" t="str">
        <f t="shared" si="2"/>
        <v/>
      </c>
      <c r="P61" s="51"/>
      <c r="Q61" s="51"/>
      <c r="R61" s="51"/>
      <c r="S61" s="51"/>
      <c r="T61" s="51"/>
      <c r="U61" s="171" t="str">
        <f t="shared" si="28"/>
        <v/>
      </c>
      <c r="V61" s="335"/>
      <c r="W61" s="335"/>
      <c r="X61" s="171" t="str">
        <f t="shared" si="29"/>
        <v/>
      </c>
      <c r="Y61" s="336" t="str">
        <f t="shared" si="30"/>
        <v/>
      </c>
      <c r="Z61" s="329"/>
      <c r="AA61" s="337"/>
      <c r="AB61" s="337"/>
      <c r="AC61" s="337"/>
      <c r="AD61" s="337"/>
      <c r="AE61" s="337"/>
      <c r="AF61" s="337"/>
      <c r="AG61" s="338"/>
      <c r="AH61" s="243"/>
    </row>
    <row r="62" spans="1:175" ht="20.85" customHeight="1" x14ac:dyDescent="0.25">
      <c r="A62" s="311">
        <v>8</v>
      </c>
      <c r="B62" s="674"/>
      <c r="C62" s="675"/>
      <c r="D62" s="676"/>
      <c r="E62" s="677"/>
      <c r="F62" s="164" t="str">
        <f t="shared" si="0"/>
        <v/>
      </c>
      <c r="G62" s="677"/>
      <c r="H62" s="51"/>
      <c r="I62" s="171" t="str">
        <f t="shared" si="27"/>
        <v/>
      </c>
      <c r="J62" s="51"/>
      <c r="K62" s="51"/>
      <c r="L62" s="51"/>
      <c r="M62" s="51"/>
      <c r="N62" s="51"/>
      <c r="O62" s="171" t="str">
        <f t="shared" si="2"/>
        <v/>
      </c>
      <c r="P62" s="51"/>
      <c r="Q62" s="51"/>
      <c r="R62" s="51"/>
      <c r="S62" s="51"/>
      <c r="T62" s="51"/>
      <c r="U62" s="171" t="str">
        <f t="shared" si="28"/>
        <v/>
      </c>
      <c r="V62" s="335"/>
      <c r="W62" s="335"/>
      <c r="X62" s="171" t="str">
        <f t="shared" si="29"/>
        <v/>
      </c>
      <c r="Y62" s="336" t="str">
        <f t="shared" si="30"/>
        <v/>
      </c>
      <c r="Z62" s="329"/>
      <c r="AA62" s="337"/>
      <c r="AB62" s="297"/>
      <c r="AC62" s="337"/>
      <c r="AD62" s="337"/>
      <c r="AE62" s="337"/>
      <c r="AF62" s="337"/>
      <c r="AG62" s="338"/>
      <c r="AH62" s="243"/>
    </row>
    <row r="63" spans="1:175" ht="18.95" customHeight="1" x14ac:dyDescent="0.25">
      <c r="A63" s="311">
        <v>8</v>
      </c>
      <c r="B63" s="674"/>
      <c r="C63" s="675"/>
      <c r="D63" s="676"/>
      <c r="E63" s="677"/>
      <c r="F63" s="164" t="str">
        <f t="shared" si="0"/>
        <v/>
      </c>
      <c r="G63" s="677"/>
      <c r="H63" s="51"/>
      <c r="I63" s="171" t="str">
        <f>IF(G63="S",IF(H63=3,1,IF(H63=2,0.6,IF(H63=1,0.3,0))),"")</f>
        <v/>
      </c>
      <c r="J63" s="51"/>
      <c r="K63" s="51"/>
      <c r="L63" s="51"/>
      <c r="M63" s="51"/>
      <c r="N63" s="51"/>
      <c r="O63" s="171" t="str">
        <f t="shared" si="2"/>
        <v/>
      </c>
      <c r="P63" s="51"/>
      <c r="Q63" s="51"/>
      <c r="R63" s="51"/>
      <c r="S63" s="51"/>
      <c r="T63" s="51"/>
      <c r="U63" s="171" t="str">
        <f>IF(AND($F63=1,P63="S"),IF(Q63=3,1,IF(Q63=2,0.6,IF(Q63=1,0.3,0))),"")</f>
        <v/>
      </c>
      <c r="V63" s="335"/>
      <c r="W63" s="335"/>
      <c r="X63" s="171" t="str">
        <f>IF($F63=1,IF(V63=3,1,IF(V63=2,0.6,IF(V63=1,0.3,0))),"")</f>
        <v/>
      </c>
      <c r="Y63" s="336" t="str">
        <f>IF(NOT(ISBLANK(D63)),IF(OR(ISNUMBER(I63),ISNUMBER(O63),ISNUMBER(U63),ISNUMBER(X63)),AVERAGE(I63,O63,U63,X63),0),"")</f>
        <v/>
      </c>
      <c r="Z63" s="329"/>
      <c r="AA63" s="337"/>
      <c r="AB63" s="337"/>
      <c r="AC63" s="337"/>
      <c r="AD63" s="337"/>
      <c r="AE63" s="337"/>
      <c r="AF63" s="337"/>
      <c r="AG63" s="338"/>
      <c r="AH63" s="243"/>
    </row>
    <row r="64" spans="1:175" s="444" customFormat="1" ht="33.75" customHeight="1" x14ac:dyDescent="0.25">
      <c r="A64" s="445">
        <v>8</v>
      </c>
      <c r="B64" s="674"/>
      <c r="C64" s="679"/>
      <c r="D64" s="676"/>
      <c r="E64" s="677"/>
      <c r="F64" s="164" t="str">
        <f t="shared" si="0"/>
        <v/>
      </c>
      <c r="G64" s="677"/>
      <c r="H64" s="51"/>
      <c r="I64" s="439" t="str">
        <f t="shared" si="23"/>
        <v/>
      </c>
      <c r="J64" s="51"/>
      <c r="K64" s="51"/>
      <c r="L64" s="51"/>
      <c r="M64" s="51"/>
      <c r="N64" s="51"/>
      <c r="O64" s="171" t="str">
        <f t="shared" si="2"/>
        <v/>
      </c>
      <c r="P64" s="51"/>
      <c r="Q64" s="51"/>
      <c r="R64" s="51"/>
      <c r="S64" s="51"/>
      <c r="T64" s="51"/>
      <c r="U64" s="439" t="str">
        <f t="shared" si="24"/>
        <v/>
      </c>
      <c r="V64" s="335"/>
      <c r="W64" s="335"/>
      <c r="X64" s="439" t="str">
        <f t="shared" si="25"/>
        <v/>
      </c>
      <c r="Y64" s="440" t="str">
        <f t="shared" si="26"/>
        <v/>
      </c>
      <c r="Z64" s="441"/>
      <c r="AA64" s="337"/>
      <c r="AB64" s="337"/>
      <c r="AC64" s="337"/>
      <c r="AD64" s="337"/>
      <c r="AE64" s="337"/>
      <c r="AF64" s="337"/>
      <c r="AG64" s="338"/>
      <c r="AH64" s="442"/>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row>
    <row r="65" spans="1:34" ht="15.75" x14ac:dyDescent="0.25">
      <c r="A65" s="311">
        <v>8</v>
      </c>
      <c r="B65" s="674"/>
      <c r="C65" s="675"/>
      <c r="D65" s="676"/>
      <c r="E65" s="677"/>
      <c r="F65" s="164" t="str">
        <f t="shared" si="0"/>
        <v/>
      </c>
      <c r="G65" s="677"/>
      <c r="H65" s="51"/>
      <c r="I65" s="171" t="str">
        <f t="shared" si="23"/>
        <v/>
      </c>
      <c r="J65" s="51"/>
      <c r="K65" s="51"/>
      <c r="L65" s="51"/>
      <c r="M65" s="51"/>
      <c r="N65" s="51"/>
      <c r="O65" s="171" t="str">
        <f t="shared" si="2"/>
        <v/>
      </c>
      <c r="P65" s="51"/>
      <c r="Q65" s="51"/>
      <c r="R65" s="51"/>
      <c r="S65" s="51"/>
      <c r="T65" s="51"/>
      <c r="U65" s="171" t="str">
        <f t="shared" si="24"/>
        <v/>
      </c>
      <c r="V65" s="335"/>
      <c r="W65" s="335"/>
      <c r="X65" s="171" t="str">
        <f t="shared" si="25"/>
        <v/>
      </c>
      <c r="Y65" s="336" t="str">
        <f t="shared" si="26"/>
        <v/>
      </c>
      <c r="Z65" s="329"/>
      <c r="AA65" s="337"/>
      <c r="AB65" s="337"/>
      <c r="AC65" s="337"/>
      <c r="AD65" s="337"/>
      <c r="AE65" s="337"/>
      <c r="AF65" s="337"/>
      <c r="AG65" s="338"/>
      <c r="AH65" s="243"/>
    </row>
    <row r="66" spans="1:34" ht="15.75" x14ac:dyDescent="0.25">
      <c r="A66" s="311">
        <v>8</v>
      </c>
      <c r="B66" s="674"/>
      <c r="C66" s="675"/>
      <c r="D66" s="676"/>
      <c r="E66" s="677"/>
      <c r="F66" s="164" t="str">
        <f t="shared" si="0"/>
        <v/>
      </c>
      <c r="G66" s="677"/>
      <c r="H66" s="51"/>
      <c r="I66" s="171" t="str">
        <f t="shared" si="23"/>
        <v/>
      </c>
      <c r="J66" s="51"/>
      <c r="K66" s="51"/>
      <c r="L66" s="51"/>
      <c r="M66" s="51"/>
      <c r="N66" s="51"/>
      <c r="O66" s="171" t="str">
        <f t="shared" si="2"/>
        <v/>
      </c>
      <c r="P66" s="51"/>
      <c r="Q66" s="51"/>
      <c r="R66" s="51"/>
      <c r="S66" s="51"/>
      <c r="T66" s="51"/>
      <c r="U66" s="171" t="str">
        <f t="shared" si="24"/>
        <v/>
      </c>
      <c r="V66" s="335"/>
      <c r="W66" s="335"/>
      <c r="X66" s="171" t="str">
        <f t="shared" si="25"/>
        <v/>
      </c>
      <c r="Y66" s="336" t="str">
        <f t="shared" si="26"/>
        <v/>
      </c>
      <c r="Z66" s="329"/>
      <c r="AA66" s="337"/>
      <c r="AB66" s="337"/>
      <c r="AC66" s="337"/>
      <c r="AD66" s="337"/>
      <c r="AE66" s="337"/>
      <c r="AF66" s="337"/>
      <c r="AG66" s="338"/>
      <c r="AH66" s="243"/>
    </row>
    <row r="67" spans="1:34" ht="15.75" x14ac:dyDescent="0.25">
      <c r="A67" s="311">
        <v>8</v>
      </c>
      <c r="B67" s="674"/>
      <c r="C67" s="675"/>
      <c r="D67" s="676"/>
      <c r="E67" s="677"/>
      <c r="F67" s="164" t="str">
        <f t="shared" si="0"/>
        <v/>
      </c>
      <c r="G67" s="677"/>
      <c r="H67" s="51"/>
      <c r="I67" s="171" t="str">
        <f t="shared" si="23"/>
        <v/>
      </c>
      <c r="J67" s="51"/>
      <c r="K67" s="51"/>
      <c r="L67" s="51"/>
      <c r="M67" s="51"/>
      <c r="N67" s="51"/>
      <c r="O67" s="171" t="str">
        <f t="shared" si="2"/>
        <v/>
      </c>
      <c r="P67" s="51"/>
      <c r="Q67" s="51"/>
      <c r="R67" s="51"/>
      <c r="S67" s="51"/>
      <c r="T67" s="51"/>
      <c r="U67" s="171" t="str">
        <f t="shared" si="24"/>
        <v/>
      </c>
      <c r="V67" s="335"/>
      <c r="W67" s="335"/>
      <c r="X67" s="171" t="str">
        <f t="shared" si="25"/>
        <v/>
      </c>
      <c r="Y67" s="336" t="str">
        <f t="shared" si="26"/>
        <v/>
      </c>
      <c r="Z67" s="329"/>
      <c r="AA67" s="337"/>
      <c r="AB67" s="337"/>
      <c r="AC67" s="337"/>
      <c r="AD67" s="337"/>
      <c r="AE67" s="337"/>
      <c r="AF67" s="337"/>
      <c r="AG67" s="338"/>
      <c r="AH67" s="243"/>
    </row>
    <row r="68" spans="1:34" ht="15.75" x14ac:dyDescent="0.25">
      <c r="A68" s="311">
        <v>8</v>
      </c>
      <c r="B68" s="161"/>
      <c r="C68" s="685"/>
      <c r="D68" s="684"/>
      <c r="E68" s="51"/>
      <c r="F68" s="164" t="str">
        <f t="shared" si="0"/>
        <v/>
      </c>
      <c r="G68" s="51"/>
      <c r="H68" s="51"/>
      <c r="I68" s="171" t="str">
        <f t="shared" si="23"/>
        <v/>
      </c>
      <c r="J68" s="51"/>
      <c r="K68" s="51"/>
      <c r="L68" s="51"/>
      <c r="M68" s="51"/>
      <c r="N68" s="51"/>
      <c r="O68" s="171" t="str">
        <f t="shared" si="2"/>
        <v/>
      </c>
      <c r="P68" s="51"/>
      <c r="Q68" s="51"/>
      <c r="R68" s="51"/>
      <c r="S68" s="51"/>
      <c r="T68" s="51"/>
      <c r="U68" s="171" t="str">
        <f t="shared" si="24"/>
        <v/>
      </c>
      <c r="V68" s="335"/>
      <c r="W68" s="335"/>
      <c r="X68" s="171" t="str">
        <f t="shared" si="25"/>
        <v/>
      </c>
      <c r="Y68" s="336" t="str">
        <f t="shared" si="26"/>
        <v/>
      </c>
      <c r="Z68" s="329"/>
      <c r="AA68" s="337"/>
      <c r="AB68" s="337"/>
      <c r="AC68" s="337"/>
      <c r="AD68" s="337"/>
      <c r="AE68" s="337"/>
      <c r="AF68" s="337"/>
      <c r="AG68" s="338"/>
      <c r="AH68" s="243"/>
    </row>
    <row r="69" spans="1:34" ht="15.75" x14ac:dyDescent="0.25">
      <c r="A69" s="311">
        <v>8</v>
      </c>
      <c r="B69" s="161"/>
      <c r="C69" s="685"/>
      <c r="D69" s="684"/>
      <c r="E69" s="51"/>
      <c r="F69" s="164" t="str">
        <f t="shared" si="0"/>
        <v/>
      </c>
      <c r="G69" s="51"/>
      <c r="H69" s="51"/>
      <c r="I69" s="171" t="str">
        <f t="shared" si="23"/>
        <v/>
      </c>
      <c r="J69" s="51"/>
      <c r="K69" s="51"/>
      <c r="L69" s="51"/>
      <c r="M69" s="51"/>
      <c r="N69" s="51"/>
      <c r="O69" s="171" t="str">
        <f t="shared" si="2"/>
        <v/>
      </c>
      <c r="P69" s="51"/>
      <c r="Q69" s="51"/>
      <c r="R69" s="51"/>
      <c r="S69" s="51"/>
      <c r="T69" s="51"/>
      <c r="U69" s="171" t="str">
        <f t="shared" si="24"/>
        <v/>
      </c>
      <c r="V69" s="335"/>
      <c r="W69" s="335"/>
      <c r="X69" s="171" t="str">
        <f t="shared" si="25"/>
        <v/>
      </c>
      <c r="Y69" s="336" t="str">
        <f t="shared" si="26"/>
        <v/>
      </c>
      <c r="Z69" s="329"/>
      <c r="AA69" s="337"/>
      <c r="AB69" s="337"/>
      <c r="AC69" s="337"/>
      <c r="AD69" s="337"/>
      <c r="AE69" s="337"/>
      <c r="AF69" s="337"/>
      <c r="AG69" s="338"/>
      <c r="AH69" s="243"/>
    </row>
    <row r="70" spans="1:34" ht="15.75" x14ac:dyDescent="0.25">
      <c r="A70" s="311">
        <v>8</v>
      </c>
      <c r="B70" s="161"/>
      <c r="C70" s="333"/>
      <c r="D70" s="334"/>
      <c r="E70" s="51"/>
      <c r="F70" s="164" t="str">
        <f t="shared" si="0"/>
        <v/>
      </c>
      <c r="G70" s="51"/>
      <c r="H70" s="51"/>
      <c r="I70" s="171" t="str">
        <f t="shared" ref="I70:I92" si="31">IF(G70="S",IF(H70=3,1,IF(H70=2,0.6,IF(H70=1,0.3,0))),"")</f>
        <v/>
      </c>
      <c r="J70" s="51"/>
      <c r="K70" s="51"/>
      <c r="L70" s="51"/>
      <c r="M70" s="51"/>
      <c r="N70" s="51"/>
      <c r="O70" s="171" t="str">
        <f t="shared" si="2"/>
        <v/>
      </c>
      <c r="P70" s="51"/>
      <c r="Q70" s="51"/>
      <c r="R70" s="51"/>
      <c r="S70" s="51"/>
      <c r="T70" s="51"/>
      <c r="U70" s="171" t="str">
        <f t="shared" ref="U70:U92" si="32">IF(AND($F70=1,P70="S"),IF(Q70=3,1,IF(Q70=2,0.6,IF(Q70=1,0.3,0))),"")</f>
        <v/>
      </c>
      <c r="V70" s="335"/>
      <c r="W70" s="335"/>
      <c r="X70" s="171" t="str">
        <f t="shared" ref="X70:X92" si="33">IF($F70=1,IF(V70=3,1,IF(V70=2,0.6,IF(V70=1,0.3,0))),"")</f>
        <v/>
      </c>
      <c r="Y70" s="336" t="str">
        <f t="shared" ref="Y70:Y86" si="34">IF(NOT(ISBLANK(D70)),IF(OR(ISNUMBER(I70),ISNUMBER(O70),ISNUMBER(U70),ISNUMBER(X70)),AVERAGE(I70,O70,U70,X70),0),"")</f>
        <v/>
      </c>
      <c r="Z70" s="329"/>
      <c r="AA70" s="337"/>
      <c r="AB70" s="337"/>
      <c r="AC70" s="337"/>
      <c r="AD70" s="337"/>
      <c r="AE70" s="337"/>
      <c r="AF70" s="337"/>
      <c r="AG70" s="338"/>
      <c r="AH70" s="243"/>
    </row>
    <row r="71" spans="1:34" ht="15.75" x14ac:dyDescent="0.25">
      <c r="A71" s="311">
        <v>8</v>
      </c>
      <c r="B71" s="161"/>
      <c r="C71" s="333"/>
      <c r="D71" s="334"/>
      <c r="E71" s="51"/>
      <c r="F71" s="164" t="str">
        <f t="shared" si="0"/>
        <v/>
      </c>
      <c r="G71" s="51"/>
      <c r="H71" s="51"/>
      <c r="I71" s="171" t="str">
        <f t="shared" si="31"/>
        <v/>
      </c>
      <c r="J71" s="51"/>
      <c r="K71" s="51"/>
      <c r="L71" s="51"/>
      <c r="M71" s="51"/>
      <c r="N71" s="51"/>
      <c r="O71" s="171" t="str">
        <f t="shared" si="2"/>
        <v/>
      </c>
      <c r="P71" s="51"/>
      <c r="Q71" s="51"/>
      <c r="R71" s="51"/>
      <c r="S71" s="51"/>
      <c r="T71" s="51"/>
      <c r="U71" s="171" t="str">
        <f t="shared" si="32"/>
        <v/>
      </c>
      <c r="V71" s="335"/>
      <c r="W71" s="335"/>
      <c r="X71" s="171" t="str">
        <f t="shared" si="33"/>
        <v/>
      </c>
      <c r="Y71" s="336" t="str">
        <f t="shared" si="34"/>
        <v/>
      </c>
      <c r="Z71" s="329"/>
      <c r="AA71" s="337"/>
      <c r="AB71" s="337"/>
      <c r="AC71" s="337"/>
      <c r="AD71" s="337"/>
      <c r="AE71" s="337"/>
      <c r="AF71" s="337"/>
      <c r="AG71" s="338"/>
      <c r="AH71" s="243"/>
    </row>
    <row r="72" spans="1:34" ht="15.75" x14ac:dyDescent="0.25">
      <c r="A72" s="311">
        <v>8</v>
      </c>
      <c r="B72" s="161"/>
      <c r="C72" s="333"/>
      <c r="D72" s="334"/>
      <c r="E72" s="51"/>
      <c r="F72" s="164" t="str">
        <f t="shared" ref="F72:F91" si="35">IF(OR(ISNUMBER(SEARCH("N",$E72)),ISNUMBER(SEARCH("E",$E72))),1,"")</f>
        <v/>
      </c>
      <c r="G72" s="51"/>
      <c r="H72" s="51"/>
      <c r="I72" s="171" t="str">
        <f t="shared" si="31"/>
        <v/>
      </c>
      <c r="J72" s="51"/>
      <c r="K72" s="51"/>
      <c r="L72" s="51"/>
      <c r="M72" s="51"/>
      <c r="N72" s="51"/>
      <c r="O72" s="171" t="str">
        <f t="shared" ref="O72:O91" si="36">IF(AND($F72=1,J72="S"),IF(K72=3,1,IF(K72=2,0.6,IF(K72=1,0.3,0))),"")</f>
        <v/>
      </c>
      <c r="P72" s="51"/>
      <c r="Q72" s="51"/>
      <c r="R72" s="51"/>
      <c r="S72" s="51"/>
      <c r="T72" s="51"/>
      <c r="U72" s="171" t="str">
        <f t="shared" si="32"/>
        <v/>
      </c>
      <c r="V72" s="335"/>
      <c r="W72" s="335"/>
      <c r="X72" s="171" t="str">
        <f t="shared" si="33"/>
        <v/>
      </c>
      <c r="Y72" s="336" t="str">
        <f t="shared" si="34"/>
        <v/>
      </c>
      <c r="Z72" s="329"/>
      <c r="AA72" s="337"/>
      <c r="AB72" s="337"/>
      <c r="AC72" s="337"/>
      <c r="AD72" s="337"/>
      <c r="AE72" s="337"/>
      <c r="AF72" s="337"/>
      <c r="AG72" s="338"/>
      <c r="AH72" s="243"/>
    </row>
    <row r="73" spans="1:34" ht="15.75" x14ac:dyDescent="0.25">
      <c r="A73" s="311">
        <v>8</v>
      </c>
      <c r="B73" s="161"/>
      <c r="C73" s="333"/>
      <c r="D73" s="334"/>
      <c r="E73" s="51"/>
      <c r="F73" s="164" t="str">
        <f t="shared" si="35"/>
        <v/>
      </c>
      <c r="G73" s="51"/>
      <c r="H73" s="51"/>
      <c r="I73" s="171" t="str">
        <f t="shared" si="31"/>
        <v/>
      </c>
      <c r="J73" s="51"/>
      <c r="K73" s="51"/>
      <c r="L73" s="51"/>
      <c r="M73" s="51"/>
      <c r="N73" s="51"/>
      <c r="O73" s="171" t="str">
        <f t="shared" si="36"/>
        <v/>
      </c>
      <c r="P73" s="51"/>
      <c r="Q73" s="51"/>
      <c r="R73" s="51"/>
      <c r="S73" s="51"/>
      <c r="T73" s="51"/>
      <c r="U73" s="171" t="str">
        <f t="shared" si="32"/>
        <v/>
      </c>
      <c r="V73" s="335"/>
      <c r="W73" s="335"/>
      <c r="X73" s="171" t="str">
        <f t="shared" si="33"/>
        <v/>
      </c>
      <c r="Y73" s="336" t="str">
        <f t="shared" si="34"/>
        <v/>
      </c>
      <c r="Z73" s="329"/>
      <c r="AA73" s="337"/>
      <c r="AB73" s="337"/>
      <c r="AC73" s="337"/>
      <c r="AD73" s="337"/>
      <c r="AE73" s="337"/>
      <c r="AF73" s="337"/>
      <c r="AG73" s="338"/>
      <c r="AH73" s="243"/>
    </row>
    <row r="74" spans="1:34" ht="15.75" x14ac:dyDescent="0.25">
      <c r="A74" s="311">
        <v>8</v>
      </c>
      <c r="B74" s="161"/>
      <c r="C74" s="333"/>
      <c r="D74" s="334"/>
      <c r="E74" s="51"/>
      <c r="F74" s="164" t="str">
        <f t="shared" si="35"/>
        <v/>
      </c>
      <c r="G74" s="51"/>
      <c r="H74" s="51"/>
      <c r="I74" s="171" t="str">
        <f t="shared" si="31"/>
        <v/>
      </c>
      <c r="J74" s="51"/>
      <c r="K74" s="51"/>
      <c r="L74" s="51"/>
      <c r="M74" s="51"/>
      <c r="N74" s="51"/>
      <c r="O74" s="171" t="str">
        <f t="shared" si="36"/>
        <v/>
      </c>
      <c r="P74" s="51"/>
      <c r="Q74" s="51"/>
      <c r="R74" s="51"/>
      <c r="S74" s="51"/>
      <c r="T74" s="51"/>
      <c r="U74" s="171" t="str">
        <f t="shared" si="32"/>
        <v/>
      </c>
      <c r="V74" s="335"/>
      <c r="W74" s="335"/>
      <c r="X74" s="171" t="str">
        <f t="shared" si="33"/>
        <v/>
      </c>
      <c r="Y74" s="336" t="str">
        <f t="shared" si="34"/>
        <v/>
      </c>
      <c r="Z74" s="329"/>
      <c r="AA74" s="337"/>
      <c r="AB74" s="337"/>
      <c r="AC74" s="337"/>
      <c r="AD74" s="337"/>
      <c r="AE74" s="337"/>
      <c r="AF74" s="337"/>
      <c r="AG74" s="338"/>
      <c r="AH74" s="243"/>
    </row>
    <row r="75" spans="1:34" ht="15.75" x14ac:dyDescent="0.25">
      <c r="A75" s="311">
        <v>8</v>
      </c>
      <c r="B75" s="161"/>
      <c r="C75" s="333"/>
      <c r="D75" s="334"/>
      <c r="E75" s="51"/>
      <c r="F75" s="164" t="str">
        <f t="shared" si="35"/>
        <v/>
      </c>
      <c r="G75" s="51"/>
      <c r="H75" s="51"/>
      <c r="I75" s="171" t="str">
        <f t="shared" si="31"/>
        <v/>
      </c>
      <c r="J75" s="51"/>
      <c r="K75" s="51"/>
      <c r="L75" s="51"/>
      <c r="M75" s="51"/>
      <c r="N75" s="51"/>
      <c r="O75" s="171" t="str">
        <f t="shared" si="36"/>
        <v/>
      </c>
      <c r="P75" s="51"/>
      <c r="Q75" s="51"/>
      <c r="R75" s="51"/>
      <c r="S75" s="51"/>
      <c r="T75" s="51"/>
      <c r="U75" s="171" t="str">
        <f t="shared" si="32"/>
        <v/>
      </c>
      <c r="V75" s="335"/>
      <c r="W75" s="335"/>
      <c r="X75" s="171" t="str">
        <f t="shared" si="33"/>
        <v/>
      </c>
      <c r="Y75" s="336" t="str">
        <f t="shared" si="34"/>
        <v/>
      </c>
      <c r="Z75" s="329"/>
      <c r="AA75" s="337"/>
      <c r="AB75" s="337"/>
      <c r="AC75" s="337"/>
      <c r="AD75" s="337"/>
      <c r="AE75" s="337"/>
      <c r="AF75" s="337"/>
      <c r="AG75" s="338"/>
      <c r="AH75" s="243"/>
    </row>
    <row r="76" spans="1:34" ht="15.75" x14ac:dyDescent="0.25">
      <c r="A76" s="311">
        <v>8</v>
      </c>
      <c r="B76" s="161"/>
      <c r="C76" s="333"/>
      <c r="D76" s="334"/>
      <c r="E76" s="51"/>
      <c r="F76" s="164" t="str">
        <f t="shared" si="35"/>
        <v/>
      </c>
      <c r="G76" s="51"/>
      <c r="H76" s="51"/>
      <c r="I76" s="171" t="str">
        <f t="shared" si="31"/>
        <v/>
      </c>
      <c r="J76" s="51"/>
      <c r="K76" s="51"/>
      <c r="L76" s="51"/>
      <c r="M76" s="51"/>
      <c r="N76" s="51"/>
      <c r="O76" s="171" t="str">
        <f t="shared" si="36"/>
        <v/>
      </c>
      <c r="P76" s="51"/>
      <c r="Q76" s="51"/>
      <c r="R76" s="51"/>
      <c r="S76" s="51"/>
      <c r="T76" s="51"/>
      <c r="U76" s="171" t="str">
        <f t="shared" si="32"/>
        <v/>
      </c>
      <c r="V76" s="335"/>
      <c r="W76" s="335"/>
      <c r="X76" s="171" t="str">
        <f t="shared" si="33"/>
        <v/>
      </c>
      <c r="Y76" s="336" t="str">
        <f t="shared" si="34"/>
        <v/>
      </c>
      <c r="Z76" s="329"/>
      <c r="AA76" s="337"/>
      <c r="AB76" s="337"/>
      <c r="AC76" s="337"/>
      <c r="AD76" s="337"/>
      <c r="AE76" s="337"/>
      <c r="AF76" s="337"/>
      <c r="AG76" s="338"/>
      <c r="AH76" s="243"/>
    </row>
    <row r="77" spans="1:34" ht="15.75" x14ac:dyDescent="0.25">
      <c r="A77" s="311">
        <v>8</v>
      </c>
      <c r="B77" s="161"/>
      <c r="C77" s="333"/>
      <c r="D77" s="334"/>
      <c r="E77" s="51"/>
      <c r="F77" s="164" t="str">
        <f t="shared" si="35"/>
        <v/>
      </c>
      <c r="G77" s="51"/>
      <c r="H77" s="51"/>
      <c r="I77" s="171" t="str">
        <f t="shared" si="31"/>
        <v/>
      </c>
      <c r="J77" s="51"/>
      <c r="K77" s="51"/>
      <c r="L77" s="51"/>
      <c r="M77" s="51"/>
      <c r="N77" s="51"/>
      <c r="O77" s="171" t="str">
        <f t="shared" si="36"/>
        <v/>
      </c>
      <c r="P77" s="51"/>
      <c r="Q77" s="51"/>
      <c r="R77" s="51"/>
      <c r="S77" s="51"/>
      <c r="T77" s="51"/>
      <c r="U77" s="171" t="str">
        <f t="shared" si="32"/>
        <v/>
      </c>
      <c r="V77" s="335"/>
      <c r="W77" s="335"/>
      <c r="X77" s="171" t="str">
        <f t="shared" si="33"/>
        <v/>
      </c>
      <c r="Y77" s="336" t="str">
        <f t="shared" si="34"/>
        <v/>
      </c>
      <c r="Z77" s="329"/>
      <c r="AA77" s="337"/>
      <c r="AB77" s="337"/>
      <c r="AC77" s="337"/>
      <c r="AD77" s="337"/>
      <c r="AE77" s="337"/>
      <c r="AF77" s="337"/>
      <c r="AG77" s="338"/>
      <c r="AH77" s="243"/>
    </row>
    <row r="78" spans="1:34" ht="15.75" x14ac:dyDescent="0.25">
      <c r="A78" s="311">
        <v>8</v>
      </c>
      <c r="B78" s="161"/>
      <c r="C78" s="333"/>
      <c r="D78" s="334"/>
      <c r="E78" s="51"/>
      <c r="F78" s="164" t="str">
        <f t="shared" si="35"/>
        <v/>
      </c>
      <c r="G78" s="51"/>
      <c r="H78" s="51"/>
      <c r="I78" s="171" t="str">
        <f t="shared" ref="I78:I80" si="37">IF(G78="S",IF(H78=3,1,IF(H78=2,0.6,IF(H78=1,0.3,0))),"")</f>
        <v/>
      </c>
      <c r="J78" s="51"/>
      <c r="K78" s="51"/>
      <c r="L78" s="51"/>
      <c r="M78" s="51"/>
      <c r="N78" s="51"/>
      <c r="O78" s="171" t="str">
        <f t="shared" si="36"/>
        <v/>
      </c>
      <c r="P78" s="51"/>
      <c r="Q78" s="51"/>
      <c r="R78" s="51"/>
      <c r="S78" s="51"/>
      <c r="T78" s="51"/>
      <c r="U78" s="171" t="str">
        <f t="shared" ref="U78:U80" si="38">IF(AND($F78=1,P78="S"),IF(Q78=3,1,IF(Q78=2,0.6,IF(Q78=1,0.3,0))),"")</f>
        <v/>
      </c>
      <c r="V78" s="335"/>
      <c r="W78" s="335"/>
      <c r="X78" s="171" t="str">
        <f t="shared" ref="X78:X80" si="39">IF($F78=1,IF(V78=3,1,IF(V78=2,0.6,IF(V78=1,0.3,0))),"")</f>
        <v/>
      </c>
      <c r="Y78" s="336" t="str">
        <f t="shared" ref="Y78:Y80" si="40">IF(NOT(ISBLANK(D78)),IF(OR(ISNUMBER(I78),ISNUMBER(O78),ISNUMBER(U78),ISNUMBER(X78)),AVERAGE(I78,O78,U78,X78),0),"")</f>
        <v/>
      </c>
      <c r="Z78" s="329"/>
      <c r="AA78" s="337"/>
      <c r="AB78" s="337"/>
      <c r="AC78" s="337"/>
      <c r="AD78" s="337"/>
      <c r="AE78" s="337"/>
      <c r="AF78" s="337"/>
      <c r="AG78" s="338"/>
      <c r="AH78" s="243"/>
    </row>
    <row r="79" spans="1:34" ht="15.75" x14ac:dyDescent="0.25">
      <c r="A79" s="311">
        <v>8</v>
      </c>
      <c r="B79" s="161"/>
      <c r="C79" s="333"/>
      <c r="D79" s="334"/>
      <c r="E79" s="51"/>
      <c r="F79" s="164" t="str">
        <f t="shared" si="35"/>
        <v/>
      </c>
      <c r="G79" s="51"/>
      <c r="H79" s="51"/>
      <c r="I79" s="171" t="str">
        <f t="shared" si="37"/>
        <v/>
      </c>
      <c r="J79" s="51"/>
      <c r="K79" s="51"/>
      <c r="L79" s="51"/>
      <c r="M79" s="51"/>
      <c r="N79" s="51"/>
      <c r="O79" s="171" t="str">
        <f t="shared" si="36"/>
        <v/>
      </c>
      <c r="P79" s="51"/>
      <c r="Q79" s="51"/>
      <c r="R79" s="51"/>
      <c r="S79" s="51"/>
      <c r="T79" s="51"/>
      <c r="U79" s="171" t="str">
        <f t="shared" si="38"/>
        <v/>
      </c>
      <c r="V79" s="335"/>
      <c r="W79" s="335"/>
      <c r="X79" s="171" t="str">
        <f t="shared" si="39"/>
        <v/>
      </c>
      <c r="Y79" s="336" t="str">
        <f t="shared" si="40"/>
        <v/>
      </c>
      <c r="Z79" s="329"/>
      <c r="AA79" s="337"/>
      <c r="AB79" s="337"/>
      <c r="AC79" s="337"/>
      <c r="AD79" s="337"/>
      <c r="AE79" s="337"/>
      <c r="AF79" s="337"/>
      <c r="AG79" s="338"/>
      <c r="AH79" s="243"/>
    </row>
    <row r="80" spans="1:34" ht="15.75" x14ac:dyDescent="0.25">
      <c r="A80" s="311">
        <v>8</v>
      </c>
      <c r="B80" s="161"/>
      <c r="C80" s="333"/>
      <c r="D80" s="334"/>
      <c r="E80" s="51"/>
      <c r="F80" s="164" t="str">
        <f t="shared" si="35"/>
        <v/>
      </c>
      <c r="G80" s="51"/>
      <c r="H80" s="51"/>
      <c r="I80" s="171" t="str">
        <f t="shared" si="37"/>
        <v/>
      </c>
      <c r="J80" s="51"/>
      <c r="K80" s="51"/>
      <c r="L80" s="51"/>
      <c r="M80" s="51"/>
      <c r="N80" s="51"/>
      <c r="O80" s="171" t="str">
        <f t="shared" si="36"/>
        <v/>
      </c>
      <c r="P80" s="51"/>
      <c r="Q80" s="51"/>
      <c r="R80" s="51"/>
      <c r="S80" s="51"/>
      <c r="T80" s="51"/>
      <c r="U80" s="171" t="str">
        <f t="shared" si="38"/>
        <v/>
      </c>
      <c r="V80" s="335"/>
      <c r="W80" s="335"/>
      <c r="X80" s="171" t="str">
        <f t="shared" si="39"/>
        <v/>
      </c>
      <c r="Y80" s="336" t="str">
        <f t="shared" si="40"/>
        <v/>
      </c>
      <c r="Z80" s="329"/>
      <c r="AA80" s="337"/>
      <c r="AB80" s="337"/>
      <c r="AC80" s="337"/>
      <c r="AD80" s="337"/>
      <c r="AE80" s="337"/>
      <c r="AF80" s="337"/>
      <c r="AG80" s="338"/>
      <c r="AH80" s="243"/>
    </row>
    <row r="81" spans="1:34" ht="20.100000000000001" customHeight="1" x14ac:dyDescent="0.25">
      <c r="A81" s="311">
        <v>8</v>
      </c>
      <c r="B81" s="161"/>
      <c r="C81" s="333"/>
      <c r="D81" s="334"/>
      <c r="E81" s="51"/>
      <c r="F81" s="164" t="str">
        <f t="shared" si="35"/>
        <v/>
      </c>
      <c r="G81" s="51"/>
      <c r="H81" s="51"/>
      <c r="I81" s="171" t="str">
        <f t="shared" si="31"/>
        <v/>
      </c>
      <c r="J81" s="51"/>
      <c r="K81" s="51"/>
      <c r="L81" s="51"/>
      <c r="M81" s="51"/>
      <c r="N81" s="51"/>
      <c r="O81" s="171" t="str">
        <f t="shared" si="36"/>
        <v/>
      </c>
      <c r="P81" s="51"/>
      <c r="Q81" s="51"/>
      <c r="R81" s="51"/>
      <c r="S81" s="51"/>
      <c r="T81" s="51"/>
      <c r="U81" s="171" t="str">
        <f t="shared" si="32"/>
        <v/>
      </c>
      <c r="V81" s="335"/>
      <c r="W81" s="335"/>
      <c r="X81" s="171" t="str">
        <f t="shared" si="33"/>
        <v/>
      </c>
      <c r="Y81" s="336" t="str">
        <f t="shared" si="34"/>
        <v/>
      </c>
      <c r="Z81" s="329"/>
      <c r="AA81" s="337"/>
      <c r="AB81" s="337"/>
      <c r="AC81" s="337"/>
      <c r="AD81" s="337"/>
      <c r="AE81" s="337"/>
      <c r="AF81" s="337"/>
      <c r="AG81" s="338"/>
      <c r="AH81" s="243"/>
    </row>
    <row r="82" spans="1:34" ht="15.75" x14ac:dyDescent="0.25">
      <c r="A82" s="311">
        <v>8</v>
      </c>
      <c r="B82" s="161"/>
      <c r="C82" s="333"/>
      <c r="D82" s="334"/>
      <c r="E82" s="51"/>
      <c r="F82" s="164" t="str">
        <f t="shared" si="35"/>
        <v/>
      </c>
      <c r="G82" s="51"/>
      <c r="H82" s="51"/>
      <c r="I82" s="171" t="str">
        <f t="shared" si="31"/>
        <v/>
      </c>
      <c r="J82" s="51"/>
      <c r="K82" s="51"/>
      <c r="L82" s="51"/>
      <c r="M82" s="51"/>
      <c r="N82" s="51"/>
      <c r="O82" s="171" t="str">
        <f t="shared" si="36"/>
        <v/>
      </c>
      <c r="P82" s="51"/>
      <c r="Q82" s="51"/>
      <c r="R82" s="51"/>
      <c r="S82" s="51"/>
      <c r="T82" s="51"/>
      <c r="U82" s="171" t="str">
        <f t="shared" si="32"/>
        <v/>
      </c>
      <c r="V82" s="335"/>
      <c r="W82" s="335"/>
      <c r="X82" s="171" t="str">
        <f t="shared" si="33"/>
        <v/>
      </c>
      <c r="Y82" s="336" t="str">
        <f t="shared" si="34"/>
        <v/>
      </c>
      <c r="Z82" s="329"/>
      <c r="AA82" s="337"/>
      <c r="AB82" s="337"/>
      <c r="AC82" s="337"/>
      <c r="AD82" s="337"/>
      <c r="AE82" s="337"/>
      <c r="AF82" s="337"/>
      <c r="AG82" s="338"/>
      <c r="AH82" s="243"/>
    </row>
    <row r="83" spans="1:34" ht="15.75" x14ac:dyDescent="0.25">
      <c r="A83" s="311">
        <v>8</v>
      </c>
      <c r="B83" s="161"/>
      <c r="C83" s="333"/>
      <c r="D83" s="334"/>
      <c r="E83" s="51"/>
      <c r="F83" s="164" t="str">
        <f t="shared" si="35"/>
        <v/>
      </c>
      <c r="G83" s="51"/>
      <c r="H83" s="51"/>
      <c r="I83" s="171" t="str">
        <f t="shared" si="31"/>
        <v/>
      </c>
      <c r="J83" s="51"/>
      <c r="K83" s="51"/>
      <c r="L83" s="51"/>
      <c r="M83" s="51"/>
      <c r="N83" s="51"/>
      <c r="O83" s="171" t="str">
        <f t="shared" si="36"/>
        <v/>
      </c>
      <c r="P83" s="51"/>
      <c r="Q83" s="51"/>
      <c r="R83" s="51"/>
      <c r="S83" s="51"/>
      <c r="T83" s="51"/>
      <c r="U83" s="171" t="str">
        <f t="shared" si="32"/>
        <v/>
      </c>
      <c r="V83" s="335"/>
      <c r="W83" s="335"/>
      <c r="X83" s="171" t="str">
        <f t="shared" si="33"/>
        <v/>
      </c>
      <c r="Y83" s="336" t="str">
        <f t="shared" si="34"/>
        <v/>
      </c>
      <c r="Z83" s="329"/>
      <c r="AA83" s="337"/>
      <c r="AB83" s="337"/>
      <c r="AC83" s="337"/>
      <c r="AD83" s="337"/>
      <c r="AE83" s="337"/>
      <c r="AF83" s="337"/>
      <c r="AG83" s="338"/>
      <c r="AH83" s="243"/>
    </row>
    <row r="84" spans="1:34" ht="15.75" x14ac:dyDescent="0.25">
      <c r="A84" s="311">
        <v>8</v>
      </c>
      <c r="B84" s="161"/>
      <c r="C84" s="333"/>
      <c r="D84" s="334"/>
      <c r="E84" s="51"/>
      <c r="F84" s="164" t="str">
        <f t="shared" si="35"/>
        <v/>
      </c>
      <c r="G84" s="51"/>
      <c r="H84" s="51"/>
      <c r="I84" s="171" t="str">
        <f t="shared" si="31"/>
        <v/>
      </c>
      <c r="J84" s="51"/>
      <c r="K84" s="51"/>
      <c r="L84" s="51"/>
      <c r="M84" s="51"/>
      <c r="N84" s="51"/>
      <c r="O84" s="171" t="str">
        <f t="shared" si="36"/>
        <v/>
      </c>
      <c r="P84" s="51"/>
      <c r="Q84" s="51"/>
      <c r="R84" s="51"/>
      <c r="S84" s="51"/>
      <c r="T84" s="51"/>
      <c r="U84" s="171" t="str">
        <f t="shared" si="32"/>
        <v/>
      </c>
      <c r="V84" s="335"/>
      <c r="W84" s="335"/>
      <c r="X84" s="171" t="str">
        <f t="shared" si="33"/>
        <v/>
      </c>
      <c r="Y84" s="336" t="str">
        <f t="shared" si="34"/>
        <v/>
      </c>
      <c r="Z84" s="329"/>
      <c r="AA84" s="337"/>
      <c r="AB84" s="337"/>
      <c r="AC84" s="337"/>
      <c r="AD84" s="337"/>
      <c r="AE84" s="337"/>
      <c r="AF84" s="337"/>
      <c r="AG84" s="338"/>
      <c r="AH84" s="243"/>
    </row>
    <row r="85" spans="1:34" ht="15.75" x14ac:dyDescent="0.25">
      <c r="A85" s="311">
        <v>8</v>
      </c>
      <c r="B85" s="161"/>
      <c r="C85" s="333"/>
      <c r="D85" s="334"/>
      <c r="E85" s="51"/>
      <c r="F85" s="164" t="str">
        <f t="shared" si="35"/>
        <v/>
      </c>
      <c r="G85" s="51"/>
      <c r="H85" s="51"/>
      <c r="I85" s="171" t="str">
        <f t="shared" si="31"/>
        <v/>
      </c>
      <c r="J85" s="51"/>
      <c r="K85" s="51"/>
      <c r="L85" s="51"/>
      <c r="M85" s="51"/>
      <c r="N85" s="51"/>
      <c r="O85" s="171" t="str">
        <f t="shared" si="36"/>
        <v/>
      </c>
      <c r="P85" s="51"/>
      <c r="Q85" s="51"/>
      <c r="R85" s="51"/>
      <c r="S85" s="51"/>
      <c r="T85" s="51"/>
      <c r="U85" s="171" t="str">
        <f t="shared" si="32"/>
        <v/>
      </c>
      <c r="V85" s="335"/>
      <c r="W85" s="335"/>
      <c r="X85" s="171" t="str">
        <f t="shared" si="33"/>
        <v/>
      </c>
      <c r="Y85" s="336" t="str">
        <f t="shared" si="34"/>
        <v/>
      </c>
      <c r="Z85" s="329"/>
      <c r="AA85" s="337"/>
      <c r="AB85" s="337"/>
      <c r="AC85" s="337"/>
      <c r="AD85" s="337"/>
      <c r="AE85" s="337"/>
      <c r="AF85" s="337"/>
      <c r="AG85" s="338"/>
      <c r="AH85" s="243"/>
    </row>
    <row r="86" spans="1:34" ht="15.75" x14ac:dyDescent="0.25">
      <c r="A86" s="311">
        <v>8</v>
      </c>
      <c r="B86" s="161"/>
      <c r="C86" s="333"/>
      <c r="D86" s="334"/>
      <c r="E86" s="51"/>
      <c r="F86" s="164" t="str">
        <f t="shared" si="35"/>
        <v/>
      </c>
      <c r="G86" s="51"/>
      <c r="H86" s="51"/>
      <c r="I86" s="171" t="str">
        <f t="shared" si="31"/>
        <v/>
      </c>
      <c r="J86" s="51"/>
      <c r="K86" s="51"/>
      <c r="L86" s="51"/>
      <c r="M86" s="51"/>
      <c r="N86" s="51"/>
      <c r="O86" s="171" t="str">
        <f t="shared" si="36"/>
        <v/>
      </c>
      <c r="P86" s="51"/>
      <c r="Q86" s="51"/>
      <c r="R86" s="51"/>
      <c r="S86" s="51"/>
      <c r="T86" s="51"/>
      <c r="U86" s="171" t="str">
        <f t="shared" si="32"/>
        <v/>
      </c>
      <c r="V86" s="335"/>
      <c r="W86" s="335"/>
      <c r="X86" s="171" t="str">
        <f t="shared" si="33"/>
        <v/>
      </c>
      <c r="Y86" s="336" t="str">
        <f t="shared" si="34"/>
        <v/>
      </c>
      <c r="Z86" s="329"/>
      <c r="AA86" s="337"/>
      <c r="AB86" s="337"/>
      <c r="AC86" s="337"/>
      <c r="AD86" s="337"/>
      <c r="AE86" s="337"/>
      <c r="AF86" s="337"/>
      <c r="AG86" s="338"/>
      <c r="AH86" s="243"/>
    </row>
    <row r="87" spans="1:34" ht="15.75" x14ac:dyDescent="0.25">
      <c r="A87" s="311">
        <v>8</v>
      </c>
      <c r="B87" s="161"/>
      <c r="C87" s="333"/>
      <c r="D87" s="334"/>
      <c r="E87" s="51"/>
      <c r="F87" s="164" t="str">
        <f t="shared" si="35"/>
        <v/>
      </c>
      <c r="G87" s="51"/>
      <c r="H87" s="51"/>
      <c r="I87" s="171" t="str">
        <f t="shared" ref="I87:I91" si="41">IF(G87="S",IF(H87=3,1,IF(H87=2,0.6,IF(H87=1,0.3,0))),"")</f>
        <v/>
      </c>
      <c r="J87" s="51"/>
      <c r="K87" s="51"/>
      <c r="L87" s="51"/>
      <c r="M87" s="51"/>
      <c r="N87" s="51"/>
      <c r="O87" s="171" t="str">
        <f t="shared" si="36"/>
        <v/>
      </c>
      <c r="P87" s="51"/>
      <c r="Q87" s="51"/>
      <c r="R87" s="51"/>
      <c r="S87" s="51"/>
      <c r="T87" s="51"/>
      <c r="U87" s="171" t="str">
        <f t="shared" ref="U87:U91" si="42">IF(AND($F87=1,P87="S"),IF(Q87=3,1,IF(Q87=2,0.6,IF(Q87=1,0.3,0))),"")</f>
        <v/>
      </c>
      <c r="V87" s="335"/>
      <c r="W87" s="335"/>
      <c r="X87" s="171" t="str">
        <f t="shared" ref="X87:X91" si="43">IF($F87=1,IF(V87=3,1,IF(V87=2,0.6,IF(V87=1,0.3,0))),"")</f>
        <v/>
      </c>
      <c r="Y87" s="336" t="str">
        <f t="shared" ref="Y87:Y91" si="44">IF(NOT(ISBLANK(D87)),IF(OR(ISNUMBER(I87),ISNUMBER(O87),ISNUMBER(U87),ISNUMBER(X87)),AVERAGE(I87,O87,U87,X87),0),"")</f>
        <v/>
      </c>
      <c r="Z87" s="329"/>
      <c r="AA87" s="337"/>
      <c r="AB87" s="337"/>
      <c r="AC87" s="337"/>
      <c r="AD87" s="337"/>
      <c r="AE87" s="337"/>
      <c r="AF87" s="337"/>
      <c r="AG87" s="338"/>
      <c r="AH87" s="243"/>
    </row>
    <row r="88" spans="1:34" ht="15.75" x14ac:dyDescent="0.25">
      <c r="A88" s="311">
        <v>8</v>
      </c>
      <c r="B88" s="161"/>
      <c r="C88" s="333"/>
      <c r="D88" s="334"/>
      <c r="E88" s="51"/>
      <c r="F88" s="164" t="str">
        <f t="shared" si="35"/>
        <v/>
      </c>
      <c r="G88" s="51"/>
      <c r="H88" s="51"/>
      <c r="I88" s="171" t="str">
        <f t="shared" si="41"/>
        <v/>
      </c>
      <c r="J88" s="51"/>
      <c r="K88" s="51"/>
      <c r="L88" s="51"/>
      <c r="M88" s="51"/>
      <c r="N88" s="51"/>
      <c r="O88" s="171" t="str">
        <f t="shared" si="36"/>
        <v/>
      </c>
      <c r="P88" s="51"/>
      <c r="Q88" s="51"/>
      <c r="R88" s="51"/>
      <c r="S88" s="51"/>
      <c r="T88" s="51"/>
      <c r="U88" s="171" t="str">
        <f t="shared" si="42"/>
        <v/>
      </c>
      <c r="V88" s="335"/>
      <c r="W88" s="335"/>
      <c r="X88" s="171" t="str">
        <f t="shared" si="43"/>
        <v/>
      </c>
      <c r="Y88" s="336" t="str">
        <f t="shared" si="44"/>
        <v/>
      </c>
      <c r="Z88" s="329"/>
      <c r="AA88" s="337"/>
      <c r="AB88" s="337"/>
      <c r="AC88" s="337"/>
      <c r="AD88" s="337"/>
      <c r="AE88" s="337"/>
      <c r="AF88" s="337"/>
      <c r="AG88" s="338"/>
      <c r="AH88" s="243"/>
    </row>
    <row r="89" spans="1:34" ht="15.75" x14ac:dyDescent="0.25">
      <c r="A89" s="311">
        <v>8</v>
      </c>
      <c r="B89" s="161"/>
      <c r="C89" s="333"/>
      <c r="D89" s="334"/>
      <c r="E89" s="51"/>
      <c r="F89" s="164" t="str">
        <f t="shared" si="35"/>
        <v/>
      </c>
      <c r="G89" s="51"/>
      <c r="H89" s="51"/>
      <c r="I89" s="171" t="str">
        <f t="shared" si="41"/>
        <v/>
      </c>
      <c r="J89" s="51"/>
      <c r="K89" s="51"/>
      <c r="L89" s="51"/>
      <c r="M89" s="51"/>
      <c r="N89" s="51"/>
      <c r="O89" s="171" t="str">
        <f t="shared" si="36"/>
        <v/>
      </c>
      <c r="P89" s="51"/>
      <c r="Q89" s="51"/>
      <c r="R89" s="51"/>
      <c r="S89" s="51"/>
      <c r="T89" s="51"/>
      <c r="U89" s="171" t="str">
        <f t="shared" si="42"/>
        <v/>
      </c>
      <c r="V89" s="335"/>
      <c r="W89" s="335"/>
      <c r="X89" s="171" t="str">
        <f t="shared" si="43"/>
        <v/>
      </c>
      <c r="Y89" s="336" t="str">
        <f t="shared" si="44"/>
        <v/>
      </c>
      <c r="Z89" s="329"/>
      <c r="AA89" s="337"/>
      <c r="AB89" s="337"/>
      <c r="AC89" s="337"/>
      <c r="AD89" s="337"/>
      <c r="AE89" s="337"/>
      <c r="AF89" s="337"/>
      <c r="AG89" s="338"/>
      <c r="AH89" s="243"/>
    </row>
    <row r="90" spans="1:34" ht="15.75" x14ac:dyDescent="0.25">
      <c r="A90" s="311">
        <v>8</v>
      </c>
      <c r="B90" s="161"/>
      <c r="C90" s="333"/>
      <c r="D90" s="334"/>
      <c r="E90" s="51"/>
      <c r="F90" s="164" t="str">
        <f t="shared" si="35"/>
        <v/>
      </c>
      <c r="G90" s="51"/>
      <c r="H90" s="51"/>
      <c r="I90" s="171" t="str">
        <f t="shared" si="41"/>
        <v/>
      </c>
      <c r="J90" s="51"/>
      <c r="K90" s="51"/>
      <c r="L90" s="51"/>
      <c r="M90" s="51"/>
      <c r="N90" s="51"/>
      <c r="O90" s="171" t="str">
        <f t="shared" si="36"/>
        <v/>
      </c>
      <c r="P90" s="51"/>
      <c r="Q90" s="51"/>
      <c r="R90" s="51"/>
      <c r="S90" s="51"/>
      <c r="T90" s="51"/>
      <c r="U90" s="171" t="str">
        <f t="shared" si="42"/>
        <v/>
      </c>
      <c r="V90" s="335"/>
      <c r="W90" s="335"/>
      <c r="X90" s="171" t="str">
        <f t="shared" si="43"/>
        <v/>
      </c>
      <c r="Y90" s="336" t="str">
        <f t="shared" si="44"/>
        <v/>
      </c>
      <c r="Z90" s="329"/>
      <c r="AA90" s="337"/>
      <c r="AB90" s="337"/>
      <c r="AC90" s="337"/>
      <c r="AD90" s="337"/>
      <c r="AE90" s="337"/>
      <c r="AF90" s="337"/>
      <c r="AG90" s="338"/>
      <c r="AH90" s="243"/>
    </row>
    <row r="91" spans="1:34" ht="15.75" x14ac:dyDescent="0.25">
      <c r="A91" s="311">
        <v>8</v>
      </c>
      <c r="B91" s="161"/>
      <c r="C91" s="333"/>
      <c r="D91" s="334"/>
      <c r="E91" s="51"/>
      <c r="F91" s="164" t="str">
        <f t="shared" si="35"/>
        <v/>
      </c>
      <c r="G91" s="51"/>
      <c r="H91" s="51"/>
      <c r="I91" s="171" t="str">
        <f t="shared" si="41"/>
        <v/>
      </c>
      <c r="J91" s="51"/>
      <c r="K91" s="51"/>
      <c r="L91" s="51"/>
      <c r="M91" s="51"/>
      <c r="N91" s="51"/>
      <c r="O91" s="171" t="str">
        <f t="shared" si="36"/>
        <v/>
      </c>
      <c r="P91" s="51"/>
      <c r="Q91" s="51"/>
      <c r="R91" s="51"/>
      <c r="S91" s="51"/>
      <c r="T91" s="51"/>
      <c r="U91" s="171" t="str">
        <f t="shared" si="42"/>
        <v/>
      </c>
      <c r="V91" s="335"/>
      <c r="W91" s="335"/>
      <c r="X91" s="171" t="str">
        <f t="shared" si="43"/>
        <v/>
      </c>
      <c r="Y91" s="336" t="str">
        <f t="shared" si="44"/>
        <v/>
      </c>
      <c r="Z91" s="329"/>
      <c r="AA91" s="337"/>
      <c r="AB91" s="337"/>
      <c r="AC91" s="337"/>
      <c r="AD91" s="337"/>
      <c r="AE91" s="337"/>
      <c r="AF91" s="337"/>
      <c r="AG91" s="338"/>
      <c r="AH91" s="243"/>
    </row>
    <row r="92" spans="1:34" ht="6.6" customHeight="1" x14ac:dyDescent="0.25">
      <c r="A92" s="339"/>
      <c r="B92" s="149"/>
      <c r="C92" s="326"/>
      <c r="D92" s="326"/>
      <c r="E92" s="150"/>
      <c r="F92" s="340"/>
      <c r="G92" s="162"/>
      <c r="H92" s="162"/>
      <c r="I92" s="171" t="str">
        <f t="shared" si="31"/>
        <v/>
      </c>
      <c r="J92" s="162"/>
      <c r="K92" s="162"/>
      <c r="L92" s="163"/>
      <c r="M92" s="162"/>
      <c r="N92" s="162"/>
      <c r="O92" s="171" t="str">
        <f t="shared" ref="O92:O93" si="45">IF(AND($F92=1,J92="S"),IF(K92=3,1,IF(K92=2,0.6,IF(K92=1,0.3,0))),"")</f>
        <v/>
      </c>
      <c r="P92" s="150"/>
      <c r="Q92" s="150"/>
      <c r="R92" s="150"/>
      <c r="S92" s="150"/>
      <c r="T92" s="150"/>
      <c r="U92" s="171" t="str">
        <f t="shared" si="32"/>
        <v/>
      </c>
      <c r="V92" s="150"/>
      <c r="W92" s="150"/>
      <c r="X92" s="171" t="str">
        <f t="shared" si="33"/>
        <v/>
      </c>
      <c r="Y92" s="330"/>
      <c r="Z92" s="329"/>
      <c r="AA92" s="330"/>
      <c r="AB92" s="330"/>
      <c r="AC92" s="330"/>
      <c r="AD92" s="330"/>
      <c r="AE92" s="330"/>
      <c r="AF92" s="330"/>
      <c r="AG92" s="332"/>
      <c r="AH92" s="243"/>
    </row>
    <row r="93" spans="1:34" ht="15.95" customHeight="1" x14ac:dyDescent="0.25">
      <c r="A93" s="339"/>
      <c r="B93" s="188">
        <f>'Quadro Geral'!D38</f>
        <v>12</v>
      </c>
      <c r="C93" s="186" t="s">
        <v>839</v>
      </c>
      <c r="D93" s="187"/>
      <c r="E93" s="180"/>
      <c r="F93" s="341"/>
      <c r="G93" s="180"/>
      <c r="H93" s="181"/>
      <c r="I93" s="342"/>
      <c r="J93" s="180"/>
      <c r="K93" s="180"/>
      <c r="L93" s="201" t="s">
        <v>840</v>
      </c>
      <c r="M93" s="165">
        <f>COUNTIFS($D9:$D92,"*",$F9:$F92,"1",M9:M92,"S")</f>
        <v>0</v>
      </c>
      <c r="N93" s="165">
        <f>COUNTIFS($D9:$D92,"*",$F9:$F92,"1",N9:N92,"S")</f>
        <v>0</v>
      </c>
      <c r="O93" s="182" t="str">
        <f t="shared" si="45"/>
        <v/>
      </c>
      <c r="P93" s="180"/>
      <c r="Q93" s="180"/>
      <c r="R93" s="180"/>
      <c r="S93" s="180"/>
      <c r="T93" s="180"/>
      <c r="U93" s="343"/>
      <c r="V93" s="748" t="s">
        <v>841</v>
      </c>
      <c r="W93" s="748"/>
      <c r="X93" s="344"/>
      <c r="Y93" s="336">
        <f>IF(COUNTIFS(D9:D92,"*",$F9:$F92,"1")&gt;0,SUMIFS($Y9:$Y92,D9:D92,"*",$F9:$F92,"1")/COUNTIFS(D9:D92,"*",$F9:$F92,"1"),0)</f>
        <v>0</v>
      </c>
      <c r="Z93" s="344"/>
      <c r="AA93" s="243"/>
      <c r="AB93" s="243"/>
      <c r="AC93" s="243"/>
      <c r="AD93" s="243"/>
      <c r="AE93" s="243"/>
      <c r="AF93" s="243"/>
      <c r="AG93" s="243"/>
      <c r="AH93" s="243"/>
    </row>
    <row r="94" spans="1:34" ht="15.95" customHeight="1" x14ac:dyDescent="0.25">
      <c r="A94" s="339"/>
      <c r="B94" s="189">
        <f>IF(OR(Capa!$B$6="B",Capa!$B$6=1),(Y93*70+Y94*30)/100,
        IF(OR(Capa!$B$6=2,Capa!$B$6=3),((Y93*60+Y94*30)/100)+
                                                                IF(AND(Capa!$B$6=2,M93&gt;0),0.1,0)+
                                                                IF(AND(Capa!$B$6=3,M93&gt;0),0.05,0)+
                                                                IF(AND(Capa!$B$6=3,N93&gt;0),0.05,0),0))</f>
        <v>0</v>
      </c>
      <c r="C94" s="749" t="s">
        <v>842</v>
      </c>
      <c r="D94" s="750"/>
      <c r="E94" s="176"/>
      <c r="F94" s="341"/>
      <c r="G94" s="176"/>
      <c r="H94" s="177"/>
      <c r="I94" s="345"/>
      <c r="J94" s="176"/>
      <c r="K94" s="176"/>
      <c r="L94" s="184"/>
      <c r="M94" s="185"/>
      <c r="N94" s="185"/>
      <c r="O94" s="179"/>
      <c r="P94" s="176"/>
      <c r="Q94" s="176"/>
      <c r="R94" s="176"/>
      <c r="S94" s="176"/>
      <c r="T94" s="176"/>
      <c r="U94" s="343"/>
      <c r="V94" s="748" t="s">
        <v>843</v>
      </c>
      <c r="W94" s="748"/>
      <c r="X94" s="344"/>
      <c r="Y94" s="336">
        <f>IF(COUNTIFS(D9:D92,"*",$F9:$F92,"&lt;&gt;1")&gt;0,SUMIFS($Y9:$Y92,D9:D92,"*",$F9:$F92,"&lt;&gt;1")/COUNTIFS(D9:D92,"*",$F9:$F92,"&lt;&gt;1"),0)</f>
        <v>0</v>
      </c>
      <c r="Z94" s="344"/>
      <c r="AA94" s="243"/>
      <c r="AB94" s="243"/>
      <c r="AC94" s="243"/>
      <c r="AD94" s="243"/>
      <c r="AE94" s="243"/>
      <c r="AF94" s="243"/>
      <c r="AG94" s="243"/>
      <c r="AH94" s="243"/>
    </row>
    <row r="95" spans="1:34" ht="15.6" customHeight="1" x14ac:dyDescent="0.25">
      <c r="A95" s="339"/>
      <c r="B95" s="190">
        <f>'Quadro Geral'!F38</f>
        <v>0</v>
      </c>
      <c r="C95" s="186" t="s">
        <v>844</v>
      </c>
      <c r="D95" s="346"/>
      <c r="E95" s="176"/>
      <c r="F95" s="341"/>
      <c r="G95" s="176"/>
      <c r="H95" s="177"/>
      <c r="I95" s="345"/>
      <c r="J95" s="176"/>
      <c r="K95" s="177"/>
      <c r="L95" s="178"/>
      <c r="M95" s="176"/>
      <c r="N95" s="176"/>
      <c r="O95" s="179" t="str">
        <f>IF(AND($F95=1,J95="S"),IF(K95=3,1,IF(K95=2,0.6,IF(K95=1,0.3,0))),"")</f>
        <v/>
      </c>
      <c r="P95" s="176"/>
      <c r="Q95" s="177"/>
      <c r="R95" s="176"/>
      <c r="S95" s="176"/>
      <c r="T95" s="176"/>
      <c r="U95" s="343"/>
      <c r="V95" s="243"/>
      <c r="W95" s="243"/>
      <c r="X95" s="243"/>
      <c r="Y95" s="243"/>
      <c r="Z95" s="344"/>
      <c r="AA95" s="243"/>
      <c r="AB95" s="243"/>
      <c r="AC95" s="243"/>
      <c r="AD95" s="243"/>
      <c r="AE95" s="243"/>
      <c r="AF95" s="243"/>
      <c r="AG95" s="243"/>
      <c r="AH95" s="243"/>
    </row>
    <row r="96" spans="1:34" ht="15.6" customHeight="1" x14ac:dyDescent="0.25">
      <c r="A96" s="339"/>
      <c r="E96" s="176"/>
      <c r="F96" s="341"/>
      <c r="G96" s="176"/>
      <c r="H96" s="177"/>
      <c r="I96" s="345"/>
      <c r="J96" s="176"/>
      <c r="K96" s="177"/>
      <c r="L96" s="178"/>
      <c r="M96" s="176"/>
      <c r="N96" s="176"/>
      <c r="O96" s="179" t="str">
        <f>IF(AND($F96=1,J96="S"),IF(K96=3,1,IF(K96=2,0.6,IF(K96=1,0.3,0))),"")</f>
        <v/>
      </c>
      <c r="P96" s="176"/>
      <c r="Q96" s="177"/>
      <c r="R96" s="176"/>
      <c r="S96" s="176"/>
      <c r="T96" s="176"/>
      <c r="U96" s="343"/>
      <c r="V96" s="176"/>
      <c r="W96" s="176"/>
      <c r="X96" s="176"/>
      <c r="Y96" s="176"/>
      <c r="Z96" s="344"/>
      <c r="AA96" s="243"/>
      <c r="AB96" s="243"/>
      <c r="AC96" s="243"/>
      <c r="AD96" s="243"/>
      <c r="AE96" s="243"/>
      <c r="AF96" s="243"/>
      <c r="AG96" s="243"/>
      <c r="AH96" s="243"/>
    </row>
    <row r="97" spans="1:175" ht="6.6" customHeight="1" x14ac:dyDescent="0.25">
      <c r="A97" s="339"/>
      <c r="B97" s="183"/>
      <c r="C97" s="347"/>
      <c r="D97" s="348"/>
      <c r="E97" s="154"/>
      <c r="F97" s="349"/>
      <c r="G97" s="154"/>
      <c r="H97" s="154"/>
      <c r="I97" s="349"/>
      <c r="J97" s="154"/>
      <c r="K97" s="154"/>
      <c r="L97" s="154"/>
      <c r="M97" s="154"/>
      <c r="N97" s="154"/>
      <c r="O97" s="349"/>
      <c r="P97" s="154"/>
      <c r="Q97" s="154"/>
      <c r="R97" s="154"/>
      <c r="S97" s="154"/>
      <c r="T97" s="154"/>
      <c r="U97" s="341"/>
      <c r="V97" s="341"/>
      <c r="W97" s="341"/>
      <c r="X97" s="341"/>
      <c r="Y97" s="341"/>
      <c r="Z97" s="341"/>
      <c r="AA97" s="350"/>
      <c r="AB97" s="350"/>
      <c r="AC97" s="350"/>
      <c r="AD97" s="350"/>
      <c r="AE97" s="350"/>
      <c r="AF97" s="350"/>
      <c r="AG97" s="350"/>
      <c r="AH97" s="243"/>
    </row>
    <row r="98" spans="1:175" ht="22.5" customHeight="1" x14ac:dyDescent="0.25">
      <c r="A98" s="244"/>
      <c r="B98" s="155" t="s">
        <v>845</v>
      </c>
      <c r="C98" s="156"/>
      <c r="D98" s="156"/>
      <c r="E98" s="156"/>
      <c r="F98" s="156"/>
      <c r="G98" s="156"/>
      <c r="H98" s="156"/>
      <c r="I98" s="156"/>
      <c r="J98" s="156"/>
      <c r="K98" s="156"/>
      <c r="L98" s="156"/>
      <c r="M98" s="156"/>
      <c r="N98" s="156"/>
      <c r="O98" s="156"/>
      <c r="P98" s="156"/>
      <c r="Q98" s="156"/>
      <c r="R98" s="156"/>
      <c r="S98" s="156"/>
      <c r="T98" s="157"/>
      <c r="U98" s="244"/>
      <c r="V98" s="244"/>
      <c r="W98" s="244"/>
      <c r="X98" s="244"/>
      <c r="Y98" s="244"/>
      <c r="Z98" s="244"/>
      <c r="AA98" s="243"/>
      <c r="AB98" s="243"/>
      <c r="AC98" s="243"/>
      <c r="AD98" s="243"/>
      <c r="AE98" s="243"/>
      <c r="AF98" s="243"/>
      <c r="AG98" s="243"/>
      <c r="AH98" s="243"/>
      <c r="CG98" s="215"/>
      <c r="CH98" s="215"/>
      <c r="CI98" s="215"/>
      <c r="CJ98" s="215"/>
      <c r="CK98" s="215"/>
      <c r="CL98" s="215"/>
      <c r="CM98" s="215"/>
      <c r="CN98" s="215"/>
      <c r="CO98" s="215"/>
      <c r="CP98" s="215"/>
      <c r="CQ98" s="215"/>
      <c r="CR98" s="215"/>
      <c r="CS98" s="215"/>
      <c r="CT98" s="215"/>
      <c r="CU98" s="215"/>
      <c r="CV98" s="215"/>
      <c r="CW98" s="215"/>
      <c r="CX98" s="215"/>
      <c r="CY98" s="215"/>
      <c r="CZ98" s="215"/>
      <c r="DA98" s="215"/>
      <c r="DB98" s="215"/>
      <c r="DC98" s="215"/>
      <c r="DD98" s="215"/>
      <c r="DE98" s="215"/>
      <c r="DF98" s="215"/>
      <c r="DG98" s="215"/>
      <c r="DH98" s="215"/>
      <c r="DI98" s="215"/>
      <c r="DJ98" s="215"/>
      <c r="DK98" s="215"/>
      <c r="DL98" s="215"/>
      <c r="DM98" s="215"/>
      <c r="DN98" s="215"/>
      <c r="DO98" s="215"/>
      <c r="DP98" s="215"/>
      <c r="DQ98" s="215"/>
      <c r="DR98" s="215"/>
      <c r="DS98" s="215"/>
      <c r="DT98" s="215"/>
      <c r="DU98" s="215"/>
      <c r="DV98" s="215"/>
      <c r="DW98" s="215"/>
      <c r="DX98" s="215"/>
      <c r="DY98" s="215"/>
      <c r="DZ98" s="215"/>
      <c r="EA98" s="215"/>
      <c r="EB98" s="215"/>
      <c r="EC98" s="215"/>
      <c r="ED98" s="215"/>
      <c r="EE98" s="215"/>
      <c r="EF98" s="215"/>
      <c r="EG98" s="215"/>
      <c r="EH98" s="215"/>
      <c r="EI98" s="215"/>
      <c r="EJ98" s="215"/>
      <c r="EK98" s="215"/>
      <c r="EL98" s="215"/>
      <c r="EM98" s="215"/>
      <c r="EN98" s="215"/>
      <c r="EO98" s="215"/>
      <c r="EP98" s="215"/>
      <c r="EQ98" s="215"/>
      <c r="ER98" s="215"/>
      <c r="ES98" s="215"/>
      <c r="ET98" s="215"/>
      <c r="EU98" s="215"/>
      <c r="EV98" s="215"/>
      <c r="EW98" s="215"/>
      <c r="EX98" s="215"/>
      <c r="EY98" s="215"/>
      <c r="EZ98" s="215"/>
      <c r="FA98" s="215"/>
      <c r="FB98" s="215"/>
      <c r="FC98" s="215"/>
      <c r="FD98" s="215"/>
      <c r="FE98" s="215"/>
      <c r="FF98" s="215"/>
      <c r="FG98" s="215"/>
      <c r="FH98" s="215"/>
      <c r="FI98" s="215"/>
      <c r="FJ98" s="215"/>
      <c r="FK98" s="215"/>
      <c r="FL98" s="215"/>
      <c r="FM98" s="215"/>
      <c r="FN98" s="215"/>
      <c r="FO98" s="215"/>
      <c r="FP98" s="215"/>
      <c r="FQ98" s="215"/>
      <c r="FR98" s="215"/>
      <c r="FS98" s="215"/>
    </row>
    <row r="99" spans="1:175" s="214" customFormat="1" x14ac:dyDescent="0.25">
      <c r="A99" s="243"/>
      <c r="B99" s="351"/>
      <c r="C99" s="742"/>
      <c r="D99" s="743"/>
      <c r="E99" s="743"/>
      <c r="F99" s="743"/>
      <c r="G99" s="743"/>
      <c r="H99" s="743"/>
      <c r="I99" s="743"/>
      <c r="J99" s="743"/>
      <c r="K99" s="743"/>
      <c r="L99" s="743"/>
      <c r="M99" s="743"/>
      <c r="N99" s="743"/>
      <c r="O99" s="743"/>
      <c r="P99" s="743"/>
      <c r="Q99" s="743"/>
      <c r="R99" s="743"/>
      <c r="S99" s="743"/>
      <c r="T99" s="744"/>
      <c r="U99" s="243"/>
      <c r="V99" s="243"/>
      <c r="W99" s="243"/>
      <c r="X99" s="243"/>
      <c r="Y99" s="243"/>
      <c r="Z99" s="243"/>
      <c r="AA99" s="243"/>
      <c r="AB99" s="243"/>
      <c r="AC99" s="243"/>
      <c r="AD99" s="243"/>
      <c r="AE99" s="243"/>
      <c r="AF99" s="243"/>
      <c r="AG99" s="243"/>
      <c r="AH99" s="243"/>
    </row>
    <row r="100" spans="1:175" s="214" customFormat="1" x14ac:dyDescent="0.25">
      <c r="A100" s="243"/>
      <c r="B100" s="351"/>
      <c r="C100" s="742"/>
      <c r="D100" s="743"/>
      <c r="E100" s="743"/>
      <c r="F100" s="743"/>
      <c r="G100" s="743"/>
      <c r="H100" s="743"/>
      <c r="I100" s="743"/>
      <c r="J100" s="743"/>
      <c r="K100" s="743"/>
      <c r="L100" s="743"/>
      <c r="M100" s="743"/>
      <c r="N100" s="743"/>
      <c r="O100" s="743"/>
      <c r="P100" s="743"/>
      <c r="Q100" s="743"/>
      <c r="R100" s="743"/>
      <c r="S100" s="743"/>
      <c r="T100" s="744"/>
      <c r="U100" s="243"/>
      <c r="V100" s="243"/>
      <c r="W100" s="243"/>
      <c r="X100" s="243"/>
      <c r="Y100" s="243"/>
      <c r="Z100" s="243"/>
      <c r="AA100" s="243"/>
      <c r="AB100" s="243"/>
      <c r="AC100" s="243"/>
      <c r="AD100" s="243"/>
      <c r="AE100" s="243"/>
      <c r="AF100" s="243"/>
      <c r="AG100" s="243"/>
      <c r="AH100" s="243"/>
    </row>
    <row r="101" spans="1:175" s="214" customFormat="1" x14ac:dyDescent="0.25">
      <c r="A101" s="243"/>
      <c r="B101" s="351"/>
      <c r="C101" s="742"/>
      <c r="D101" s="743"/>
      <c r="E101" s="743"/>
      <c r="F101" s="743"/>
      <c r="G101" s="743"/>
      <c r="H101" s="743"/>
      <c r="I101" s="743"/>
      <c r="J101" s="743"/>
      <c r="K101" s="743"/>
      <c r="L101" s="743"/>
      <c r="M101" s="743"/>
      <c r="N101" s="743"/>
      <c r="O101" s="743"/>
      <c r="P101" s="743"/>
      <c r="Q101" s="743"/>
      <c r="R101" s="743"/>
      <c r="S101" s="743"/>
      <c r="T101" s="744"/>
      <c r="U101" s="243"/>
      <c r="V101" s="243"/>
      <c r="W101" s="243"/>
      <c r="X101" s="243"/>
      <c r="Y101" s="243"/>
      <c r="Z101" s="243"/>
      <c r="AA101" s="243"/>
      <c r="AB101" s="243"/>
      <c r="AC101" s="243"/>
      <c r="AD101" s="243"/>
      <c r="AE101" s="243"/>
      <c r="AF101" s="243"/>
      <c r="AG101" s="243"/>
      <c r="AH101" s="243"/>
    </row>
    <row r="102" spans="1:175" s="214" customFormat="1" x14ac:dyDescent="0.25">
      <c r="A102" s="243"/>
      <c r="B102" s="351"/>
      <c r="C102" s="742"/>
      <c r="D102" s="743"/>
      <c r="E102" s="743"/>
      <c r="F102" s="743"/>
      <c r="G102" s="743"/>
      <c r="H102" s="743"/>
      <c r="I102" s="743"/>
      <c r="J102" s="743"/>
      <c r="K102" s="743"/>
      <c r="L102" s="743"/>
      <c r="M102" s="743"/>
      <c r="N102" s="743"/>
      <c r="O102" s="743"/>
      <c r="P102" s="743"/>
      <c r="Q102" s="743"/>
      <c r="R102" s="743"/>
      <c r="S102" s="743"/>
      <c r="T102" s="744"/>
      <c r="U102" s="243"/>
      <c r="V102" s="243"/>
      <c r="W102" s="243"/>
      <c r="X102" s="243"/>
      <c r="Y102" s="243"/>
      <c r="Z102" s="243"/>
      <c r="AA102" s="243"/>
      <c r="AB102" s="243"/>
      <c r="AC102" s="243"/>
      <c r="AD102" s="243"/>
      <c r="AE102" s="243"/>
      <c r="AF102" s="243"/>
      <c r="AG102" s="243"/>
      <c r="AH102" s="243"/>
    </row>
    <row r="103" spans="1:175" s="214" customFormat="1" x14ac:dyDescent="0.25">
      <c r="B103" s="158"/>
      <c r="C103" s="158"/>
    </row>
    <row r="104" spans="1:175" s="214" customFormat="1" x14ac:dyDescent="0.25">
      <c r="B104" s="158"/>
      <c r="C104" s="158"/>
    </row>
    <row r="105" spans="1:175" s="214" customFormat="1" x14ac:dyDescent="0.25">
      <c r="B105" s="158"/>
      <c r="C105" s="158"/>
    </row>
    <row r="106" spans="1:175" s="214" customFormat="1" x14ac:dyDescent="0.25">
      <c r="B106" s="158"/>
      <c r="C106" s="158"/>
    </row>
    <row r="107" spans="1:175" s="214" customFormat="1" x14ac:dyDescent="0.25">
      <c r="B107" s="158"/>
      <c r="C107" s="158"/>
    </row>
    <row r="108" spans="1:175" s="214" customFormat="1" x14ac:dyDescent="0.25">
      <c r="B108" s="158"/>
      <c r="C108" s="158"/>
    </row>
    <row r="109" spans="1:175" s="214" customFormat="1" x14ac:dyDescent="0.25">
      <c r="B109" s="158"/>
      <c r="C109" s="158"/>
    </row>
    <row r="110" spans="1:175" s="214" customFormat="1" x14ac:dyDescent="0.25">
      <c r="B110" s="158"/>
      <c r="C110" s="158"/>
    </row>
    <row r="111" spans="1:175" s="214" customFormat="1" x14ac:dyDescent="0.25">
      <c r="B111" s="158"/>
      <c r="C111" s="158"/>
    </row>
    <row r="112" spans="1:175" s="214" customFormat="1" x14ac:dyDescent="0.25">
      <c r="B112" s="158"/>
      <c r="C112" s="158"/>
    </row>
    <row r="113" spans="2:3" s="214" customFormat="1" x14ac:dyDescent="0.25">
      <c r="B113" s="158"/>
      <c r="C113" s="158"/>
    </row>
    <row r="114" spans="2:3" s="214" customFormat="1" x14ac:dyDescent="0.25">
      <c r="B114" s="158"/>
      <c r="C114" s="158"/>
    </row>
    <row r="115" spans="2:3" s="214" customFormat="1" x14ac:dyDescent="0.25">
      <c r="B115" s="158"/>
      <c r="C115" s="158"/>
    </row>
    <row r="116" spans="2:3" s="214" customFormat="1" x14ac:dyDescent="0.25">
      <c r="B116" s="158"/>
      <c r="C116" s="158"/>
    </row>
    <row r="117" spans="2:3" s="214" customFormat="1" x14ac:dyDescent="0.25">
      <c r="B117" s="158"/>
      <c r="C117" s="158"/>
    </row>
    <row r="118" spans="2:3" s="214" customFormat="1" x14ac:dyDescent="0.25">
      <c r="B118" s="158"/>
      <c r="C118" s="158"/>
    </row>
    <row r="119" spans="2:3" s="214" customFormat="1" x14ac:dyDescent="0.25">
      <c r="B119" s="158"/>
      <c r="C119" s="158"/>
    </row>
    <row r="120" spans="2:3" s="214" customFormat="1" x14ac:dyDescent="0.25">
      <c r="B120" s="158"/>
      <c r="C120" s="158"/>
    </row>
    <row r="121" spans="2:3" s="214" customFormat="1" x14ac:dyDescent="0.25">
      <c r="B121" s="158"/>
      <c r="C121" s="158"/>
    </row>
    <row r="122" spans="2:3" s="214" customFormat="1" x14ac:dyDescent="0.25">
      <c r="B122" s="158"/>
      <c r="C122" s="158"/>
    </row>
    <row r="123" spans="2:3" s="214" customFormat="1" x14ac:dyDescent="0.25">
      <c r="B123" s="158"/>
      <c r="C123" s="158"/>
    </row>
    <row r="124" spans="2:3" s="214" customFormat="1" x14ac:dyDescent="0.25">
      <c r="B124" s="158"/>
      <c r="C124" s="158"/>
    </row>
    <row r="125" spans="2:3" s="214" customFormat="1" x14ac:dyDescent="0.25">
      <c r="B125" s="158"/>
      <c r="C125" s="158"/>
    </row>
    <row r="126" spans="2:3" s="214" customFormat="1" x14ac:dyDescent="0.25">
      <c r="B126" s="158"/>
      <c r="C126" s="158"/>
    </row>
    <row r="127" spans="2:3" s="214" customFormat="1" x14ac:dyDescent="0.25">
      <c r="B127" s="158"/>
      <c r="C127" s="158"/>
    </row>
    <row r="128" spans="2:3" s="214" customFormat="1" x14ac:dyDescent="0.25">
      <c r="B128" s="158"/>
      <c r="C128" s="158"/>
    </row>
    <row r="129" spans="2:3" s="214" customFormat="1" x14ac:dyDescent="0.25">
      <c r="B129" s="158"/>
      <c r="C129" s="158"/>
    </row>
    <row r="130" spans="2:3" s="214" customFormat="1" x14ac:dyDescent="0.25">
      <c r="B130" s="158"/>
      <c r="C130" s="158"/>
    </row>
    <row r="131" spans="2:3" s="214" customFormat="1" x14ac:dyDescent="0.25">
      <c r="B131" s="158"/>
      <c r="C131" s="158"/>
    </row>
    <row r="132" spans="2:3" s="214" customFormat="1" x14ac:dyDescent="0.25">
      <c r="B132" s="158"/>
      <c r="C132" s="158"/>
    </row>
    <row r="133" spans="2:3" s="214" customFormat="1" x14ac:dyDescent="0.25">
      <c r="B133" s="158"/>
      <c r="C133" s="158"/>
    </row>
    <row r="134" spans="2:3" s="214" customFormat="1" x14ac:dyDescent="0.25">
      <c r="B134" s="158"/>
      <c r="C134" s="158"/>
    </row>
    <row r="135" spans="2:3" s="214" customFormat="1" x14ac:dyDescent="0.25">
      <c r="B135" s="158"/>
      <c r="C135" s="158"/>
    </row>
    <row r="136" spans="2:3" s="214" customFormat="1" x14ac:dyDescent="0.25">
      <c r="B136" s="158"/>
      <c r="C136" s="158"/>
    </row>
    <row r="137" spans="2:3" s="214" customFormat="1" x14ac:dyDescent="0.25">
      <c r="B137" s="158"/>
      <c r="C137" s="158"/>
    </row>
    <row r="138" spans="2:3" s="214" customFormat="1" x14ac:dyDescent="0.25">
      <c r="B138" s="158"/>
      <c r="C138" s="158"/>
    </row>
    <row r="139" spans="2:3" s="214" customFormat="1" x14ac:dyDescent="0.25">
      <c r="B139" s="158"/>
      <c r="C139" s="158"/>
    </row>
    <row r="140" spans="2:3" s="214" customFormat="1" x14ac:dyDescent="0.25">
      <c r="B140" s="158"/>
      <c r="C140" s="158"/>
    </row>
    <row r="141" spans="2:3" s="214" customFormat="1" x14ac:dyDescent="0.25">
      <c r="B141" s="158"/>
      <c r="C141" s="158"/>
    </row>
    <row r="142" spans="2:3" s="214" customFormat="1" x14ac:dyDescent="0.25">
      <c r="B142" s="158"/>
      <c r="C142" s="158"/>
    </row>
    <row r="143" spans="2:3" s="214" customFormat="1" x14ac:dyDescent="0.25">
      <c r="B143" s="158"/>
      <c r="C143" s="158"/>
    </row>
    <row r="144" spans="2:3" s="214" customFormat="1" x14ac:dyDescent="0.25">
      <c r="B144" s="158"/>
      <c r="C144" s="158"/>
    </row>
    <row r="145" spans="2:3" s="214" customFormat="1" x14ac:dyDescent="0.25">
      <c r="B145" s="158"/>
      <c r="C145" s="158"/>
    </row>
    <row r="146" spans="2:3" s="214" customFormat="1" x14ac:dyDescent="0.25">
      <c r="B146" s="158"/>
      <c r="C146" s="158"/>
    </row>
    <row r="147" spans="2:3" s="214" customFormat="1" x14ac:dyDescent="0.25">
      <c r="B147" s="158"/>
      <c r="C147" s="158"/>
    </row>
    <row r="148" spans="2:3" s="214" customFormat="1" x14ac:dyDescent="0.25">
      <c r="B148" s="158"/>
      <c r="C148" s="158"/>
    </row>
    <row r="149" spans="2:3" s="214" customFormat="1" x14ac:dyDescent="0.25">
      <c r="B149" s="158"/>
      <c r="C149" s="158"/>
    </row>
    <row r="150" spans="2:3" s="214" customFormat="1" x14ac:dyDescent="0.25">
      <c r="B150" s="158"/>
      <c r="C150" s="158"/>
    </row>
    <row r="151" spans="2:3" s="214" customFormat="1" x14ac:dyDescent="0.25">
      <c r="B151" s="158"/>
      <c r="C151" s="158"/>
    </row>
    <row r="152" spans="2:3" s="214" customFormat="1" x14ac:dyDescent="0.25">
      <c r="B152" s="158"/>
      <c r="C152" s="158"/>
    </row>
    <row r="153" spans="2:3" s="214" customFormat="1" x14ac:dyDescent="0.25">
      <c r="B153" s="158"/>
      <c r="C153" s="158"/>
    </row>
    <row r="154" spans="2:3" s="214" customFormat="1" x14ac:dyDescent="0.25">
      <c r="B154" s="158"/>
      <c r="C154" s="158"/>
    </row>
    <row r="155" spans="2:3" s="214" customFormat="1" x14ac:dyDescent="0.25">
      <c r="B155" s="158"/>
      <c r="C155" s="158"/>
    </row>
    <row r="156" spans="2:3" s="214" customFormat="1" x14ac:dyDescent="0.25">
      <c r="B156" s="158"/>
      <c r="C156" s="158"/>
    </row>
    <row r="157" spans="2:3" s="214" customFormat="1" x14ac:dyDescent="0.25">
      <c r="B157" s="158"/>
      <c r="C157" s="158"/>
    </row>
    <row r="158" spans="2:3" s="214" customFormat="1" x14ac:dyDescent="0.25">
      <c r="B158" s="158"/>
      <c r="C158" s="158"/>
    </row>
  </sheetData>
  <sheetProtection algorithmName="SHA-512" hashValue="304IzGo4DeDSh75GgmoQwCnA/Lh9yb45oIA6VeTWHOyLBGijFQz39skgdAGSXaORXWv2g1gwnuPbtBUr65nm1g==" saltValue="+trPISbZGYkdh7sZz6C8CA==" spinCount="100000" sheet="1" formatCells="0" formatColumns="0" formatRows="0"/>
  <mergeCells count="14">
    <mergeCell ref="G3:W3"/>
    <mergeCell ref="B4:D4"/>
    <mergeCell ref="G4:H4"/>
    <mergeCell ref="J4:N4"/>
    <mergeCell ref="P4:T4"/>
    <mergeCell ref="V4:W4"/>
    <mergeCell ref="C101:T101"/>
    <mergeCell ref="C102:T102"/>
    <mergeCell ref="AA4:AG4"/>
    <mergeCell ref="V93:W93"/>
    <mergeCell ref="C94:D94"/>
    <mergeCell ref="V94:W94"/>
    <mergeCell ref="C99:T99"/>
    <mergeCell ref="C100:T100"/>
  </mergeCells>
  <conditionalFormatting sqref="B4">
    <cfRule type="dataBar" priority="585">
      <dataBar>
        <cfvo type="num" val="0.1"/>
        <cfvo type="num" val="1"/>
        <color rgb="FF92D050"/>
      </dataBar>
      <extLst>
        <ext xmlns:x14="http://schemas.microsoft.com/office/spreadsheetml/2009/9/main" uri="{B025F937-C7B1-47D3-B67F-A62EFF666E3E}">
          <x14:id>{E7B285AC-A23B-4078-9533-AF4E1EAF9A49}</x14:id>
        </ext>
      </extLst>
    </cfRule>
  </conditionalFormatting>
  <conditionalFormatting sqref="H9:H91">
    <cfRule type="expression" dxfId="35" priority="1">
      <formula>AND($G9&lt;&gt;"S",NOT(ISBLANK($H9)))</formula>
    </cfRule>
  </conditionalFormatting>
  <conditionalFormatting sqref="J47:J69">
    <cfRule type="expression" dxfId="34" priority="14">
      <formula>$F47&lt;&gt;1</formula>
    </cfRule>
  </conditionalFormatting>
  <conditionalFormatting sqref="J9:N9">
    <cfRule type="expression" dxfId="33" priority="579">
      <formula>$F9&lt;&gt;1</formula>
    </cfRule>
  </conditionalFormatting>
  <conditionalFormatting sqref="J45:N46">
    <cfRule type="expression" dxfId="32" priority="152">
      <formula>$F45&lt;&gt;1</formula>
    </cfRule>
  </conditionalFormatting>
  <conditionalFormatting sqref="J70:N91 P73:T77">
    <cfRule type="expression" dxfId="31" priority="7">
      <formula>$F70&lt;&gt;1</formula>
    </cfRule>
  </conditionalFormatting>
  <conditionalFormatting sqref="P70:P72 P78:P80">
    <cfRule type="expression" dxfId="30" priority="264">
      <formula>$F70&lt;&gt;1</formula>
    </cfRule>
  </conditionalFormatting>
  <conditionalFormatting sqref="P9:T69 J10:J44 K10:N69">
    <cfRule type="expression" dxfId="29" priority="97">
      <formula>$F9&lt;&gt;1</formula>
    </cfRule>
  </conditionalFormatting>
  <conditionalFormatting sqref="P81:T91">
    <cfRule type="expression" dxfId="28" priority="456">
      <formula>$F81&lt;&gt;1</formula>
    </cfRule>
  </conditionalFormatting>
  <conditionalFormatting sqref="Q45:T52 Q64:T80">
    <cfRule type="expression" dxfId="27" priority="270">
      <formula>$F45&lt;&gt;1</formula>
    </cfRule>
  </conditionalFormatting>
  <conditionalFormatting sqref="V9 W9:W91">
    <cfRule type="expression" dxfId="26" priority="587">
      <formula>$F9&lt;&gt;1</formula>
    </cfRule>
  </conditionalFormatting>
  <conditionalFormatting sqref="V10">
    <cfRule type="expression" dxfId="25" priority="453">
      <formula>$F10&lt;&gt;1</formula>
    </cfRule>
  </conditionalFormatting>
  <conditionalFormatting sqref="V16:V18">
    <cfRule type="expression" dxfId="24" priority="354">
      <formula>$F16&lt;&gt;1</formula>
    </cfRule>
  </conditionalFormatting>
  <conditionalFormatting sqref="V19">
    <cfRule type="expression" dxfId="23" priority="26">
      <formula>$F19&lt;&gt;1</formula>
    </cfRule>
  </conditionalFormatting>
  <conditionalFormatting sqref="V31:V32">
    <cfRule type="expression" dxfId="22" priority="546">
      <formula>$F31&lt;&gt;1</formula>
    </cfRule>
  </conditionalFormatting>
  <conditionalFormatting sqref="V33:V36">
    <cfRule type="expression" dxfId="21" priority="24">
      <formula>$F33&lt;&gt;1</formula>
    </cfRule>
  </conditionalFormatting>
  <conditionalFormatting sqref="V42:V44">
    <cfRule type="expression" dxfId="20" priority="22">
      <formula>$F42&lt;&gt;1</formula>
    </cfRule>
  </conditionalFormatting>
  <conditionalFormatting sqref="V53">
    <cfRule type="expression" dxfId="19" priority="19">
      <formula>$F53&lt;&gt;1</formula>
    </cfRule>
  </conditionalFormatting>
  <conditionalFormatting sqref="V59:V61">
    <cfRule type="expression" dxfId="18" priority="17">
      <formula>$F59&lt;&gt;1</formula>
    </cfRule>
  </conditionalFormatting>
  <conditionalFormatting sqref="V62">
    <cfRule type="expression" dxfId="17" priority="11">
      <formula>$F62&lt;&gt;1</formula>
    </cfRule>
  </conditionalFormatting>
  <conditionalFormatting sqref="V70:V72 V78:V80">
    <cfRule type="expression" dxfId="16" priority="278">
      <formula>$F70&lt;&gt;1</formula>
    </cfRule>
  </conditionalFormatting>
  <conditionalFormatting sqref="V82:V91">
    <cfRule type="expression" dxfId="15" priority="471">
      <formula>$F82&lt;&gt;1</formula>
    </cfRule>
  </conditionalFormatting>
  <conditionalFormatting sqref="V9:W91">
    <cfRule type="expression" dxfId="14" priority="460" stopIfTrue="1">
      <formula>AND($F9&lt;&gt;1,NOT(ISBLANK($V9)))</formula>
    </cfRule>
  </conditionalFormatting>
  <conditionalFormatting sqref="V11:W18 V37:W51">
    <cfRule type="expression" dxfId="13" priority="48">
      <formula>$F11&lt;&gt;1</formula>
    </cfRule>
  </conditionalFormatting>
  <conditionalFormatting sqref="V20:W35">
    <cfRule type="expression" dxfId="12" priority="561">
      <formula>$F20&lt;&gt;1</formula>
    </cfRule>
  </conditionalFormatting>
  <conditionalFormatting sqref="V24:W24">
    <cfRule type="expression" dxfId="11" priority="25">
      <formula>$F24&lt;&gt;1</formula>
    </cfRule>
  </conditionalFormatting>
  <conditionalFormatting sqref="V37:W51 V11:W18">
    <cfRule type="expression" dxfId="10" priority="47" stopIfTrue="1">
      <formula>AND($F11&lt;&gt;1,NOT(ISBLANK($V11)))</formula>
    </cfRule>
  </conditionalFormatting>
  <conditionalFormatting sqref="V41:W41">
    <cfRule type="expression" dxfId="9" priority="23">
      <formula>$F41&lt;&gt;1</formula>
    </cfRule>
  </conditionalFormatting>
  <conditionalFormatting sqref="V45:W52">
    <cfRule type="expression" dxfId="8" priority="154" stopIfTrue="1">
      <formula>AND($F45&lt;&gt;1,NOT(ISBLANK($V45)))</formula>
    </cfRule>
    <cfRule type="expression" dxfId="7" priority="155">
      <formula>$F45&lt;&gt;1</formula>
    </cfRule>
  </conditionalFormatting>
  <conditionalFormatting sqref="V47:W47">
    <cfRule type="expression" dxfId="6" priority="32">
      <formula>$F47&lt;&gt;1</formula>
    </cfRule>
    <cfRule type="expression" dxfId="5" priority="31" stopIfTrue="1">
      <formula>AND($F47&lt;&gt;1,NOT(ISBLANK($V47)))</formula>
    </cfRule>
  </conditionalFormatting>
  <conditionalFormatting sqref="V54:W61 V63:W69">
    <cfRule type="expression" dxfId="4" priority="12" stopIfTrue="1">
      <formula>AND($F54&lt;&gt;1,NOT(ISBLANK($V54)))</formula>
    </cfRule>
    <cfRule type="expression" dxfId="3" priority="13">
      <formula>$F54&lt;&gt;1</formula>
    </cfRule>
  </conditionalFormatting>
  <conditionalFormatting sqref="V73:W77">
    <cfRule type="expression" dxfId="2" priority="9" stopIfTrue="1">
      <formula>AND($F73&lt;&gt;1,NOT(ISBLANK($V73)))</formula>
    </cfRule>
    <cfRule type="expression" dxfId="1" priority="10">
      <formula>$F73&lt;&gt;1</formula>
    </cfRule>
  </conditionalFormatting>
  <conditionalFormatting sqref="V81:W81">
    <cfRule type="expression" dxfId="0" priority="522">
      <formula>$F81&lt;&gt;1</formula>
    </cfRule>
  </conditionalFormatting>
  <dataValidations count="13">
    <dataValidation type="list" allowBlank="1" showInputMessage="1" showErrorMessage="1" error="Opção inválida" promptTitle="Há padrão suficiente" sqref="P97 J97 E92:E97 G97 E8 P9:P91 J8:J92 G8:G92" xr:uid="{00000000-0002-0000-0D00-000003000000}">
      <formula1>"S,N,s,n"</formula1>
    </dataValidation>
    <dataValidation type="list" allowBlank="1" showInputMessage="1" showErrorMessage="1" error="Opção inválida" promptTitle="Há padrão suficiente" sqref="Q97 Q8 K8 H92 K92 Q92 H8 M97:N97 H97 K97 M8:N92" xr:uid="{00000000-0002-0000-0D00-000004000000}">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30 AE8:AE10 AE19 AE36 AE53 AE62" xr:uid="{00000000-0002-0000-0D00-000005000000}"/>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30 AD8:AD10 AD19 AD36 AD53 AD62" xr:uid="{00000000-0002-0000-0D00-000006000000}"/>
    <dataValidation type="list" allowBlank="1" showInputMessage="1" showErrorMessage="1" error="Opção inválida" sqref="T8 V8:W8 V92:W92 T92 S97:T97 S8:S92" xr:uid="{00000000-0002-0000-0D00-000008000000}">
      <formula1>"MT,EF,mt,ef"</formula1>
    </dataValidation>
    <dataValidation type="list" allowBlank="1" showInputMessage="1" showErrorMessage="1" error="Opção inválida" promptTitle="Há padrão suficiente" sqref="P8 P92" xr:uid="{00000000-0002-0000-0D00-000009000000}">
      <formula1>"S,N,s,n,NS,ns"</formula1>
    </dataValidation>
    <dataValidation type="list" allowBlank="1" showInputMessage="1" showErrorMessage="1" promptTitle="Informe PF ou OM" prompt="Descreva o PF ou a OM à Direita" sqref="B99:B102" xr:uid="{00000000-0002-0000-0D00-00000B000000}">
      <formula1>"PF,OM"</formula1>
    </dataValidation>
    <dataValidation type="list" allowBlank="1" showInputMessage="1" showErrorMessage="1" error="Opção inválida! 0,1,2 ou 3" promptTitle="Há padrão suficiente" sqref="Q9:Q91" xr:uid="{00000000-0002-0000-0D00-000000000000}">
      <formula1>"0,1,2,3"</formula1>
    </dataValidation>
    <dataValidation type="list" allowBlank="1" showInputMessage="1" showErrorMessage="1" error="Opção inválida! 0,1,2 ou 3." sqref="V9:V91" xr:uid="{00000000-0002-0000-0D00-000001000000}">
      <formula1>"0,1,2,3"</formula1>
    </dataValidation>
    <dataValidation type="list" allowBlank="1" showInputMessage="1" showErrorMessage="1" error="Opção inválida" promptTitle="Há padrão suficiente" sqref="K9:K91 H9:H91" xr:uid="{00000000-0002-0000-0D00-000002000000}">
      <formula1>"0,1,2,3"</formula1>
    </dataValidation>
    <dataValidation type="list" allowBlank="1" showInputMessage="1" showErrorMessage="1" promptTitle="Bom quando" prompt="&quot;+&quot; Aumentar_x000a_&quot;=&quot; Manter _x000a_&quot;-&quot;  Diminuir" sqref="AA9:AA91" xr:uid="{00000000-0002-0000-0D00-000007000000}">
      <formula1>"+,=,-"</formula1>
    </dataValidation>
    <dataValidation allowBlank="1" showInputMessage="1" showErrorMessage="1" error="Opção inválida" sqref="T9:T91" xr:uid="{00000000-0002-0000-0D00-00000A000000}"/>
    <dataValidation type="list" allowBlank="1" showInputMessage="1" showErrorMessage="1" error="Opção inválida!" sqref="E9:E91" xr:uid="{00000000-0002-0000-0D00-00000C000000}">
      <formula1>"N,E,O,G,n,e,o,g,NO,EO,no,eo,ON,OE,on,oe"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7B285AC-A23B-4078-9533-AF4E1EAF9A49}">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5"/>
  <dimension ref="B1:X39"/>
  <sheetViews>
    <sheetView zoomScaleNormal="100" workbookViewId="0">
      <selection activeCell="G32" sqref="G32"/>
    </sheetView>
  </sheetViews>
  <sheetFormatPr defaultColWidth="8.85546875" defaultRowHeight="15" x14ac:dyDescent="0.25"/>
  <cols>
    <col min="1" max="1" width="2.85546875" style="215" customWidth="1"/>
    <col min="2" max="2" width="51.85546875" style="215" customWidth="1"/>
    <col min="3" max="3" width="8" style="215" customWidth="1"/>
    <col min="4" max="4" width="10.140625" style="215" customWidth="1"/>
    <col min="5" max="5" width="9" style="215" customWidth="1"/>
    <col min="6" max="6" width="7.140625" style="215" customWidth="1"/>
    <col min="7" max="7" width="8.42578125" style="215" customWidth="1"/>
    <col min="8" max="8" width="6.42578125" style="215" customWidth="1"/>
    <col min="9" max="9" width="3" style="215" customWidth="1"/>
    <col min="10" max="10" width="13.85546875" style="215" customWidth="1"/>
    <col min="11" max="11" width="8.85546875" style="215"/>
    <col min="12" max="12" width="10.42578125" style="215" customWidth="1"/>
    <col min="13" max="13" width="10.140625" style="215" customWidth="1"/>
    <col min="14" max="14" width="4.42578125" style="215" customWidth="1"/>
    <col min="15" max="16" width="10.5703125" style="215" customWidth="1"/>
    <col min="17" max="17" width="11.5703125" style="215" customWidth="1"/>
    <col min="18" max="18" width="3.7109375" style="215" customWidth="1"/>
    <col min="19" max="19" width="6.42578125" style="215" customWidth="1"/>
    <col min="20" max="16384" width="8.85546875" style="215"/>
  </cols>
  <sheetData>
    <row r="1" spans="2:24" ht="15.95" customHeight="1" x14ac:dyDescent="0.25">
      <c r="B1" s="419" t="str">
        <f>Capa!A1</f>
        <v xml:space="preserve">MEGplan®ESG </v>
      </c>
      <c r="C1" s="420" t="str">
        <f ca="1">IF(Capa!$E$7&lt;&gt;ABS(YEAR(TODAY())-Capa!$K$3),"Não Licenciada para cálculo da pontuação","")</f>
        <v>Não Licenciada para cálculo da pontuação</v>
      </c>
      <c r="D1" s="421"/>
      <c r="E1" s="422"/>
      <c r="F1" s="422"/>
      <c r="G1" s="422"/>
      <c r="H1" s="422"/>
      <c r="I1" s="307"/>
      <c r="J1" s="307"/>
      <c r="K1" s="754" t="s">
        <v>851</v>
      </c>
      <c r="L1" s="755"/>
      <c r="M1" s="755"/>
      <c r="N1" s="755"/>
      <c r="O1" s="755"/>
      <c r="P1" s="755"/>
      <c r="Q1" s="756"/>
      <c r="R1" s="630"/>
      <c r="T1" s="764" t="s">
        <v>852</v>
      </c>
      <c r="U1" s="764"/>
      <c r="V1" s="764"/>
      <c r="W1" s="764"/>
      <c r="X1" s="764"/>
    </row>
    <row r="2" spans="2:24" ht="16.350000000000001" customHeight="1" x14ac:dyDescent="0.25">
      <c r="B2" s="631" t="s">
        <v>853</v>
      </c>
      <c r="C2" s="629"/>
      <c r="D2" s="629"/>
      <c r="E2" s="629"/>
      <c r="F2" s="629"/>
      <c r="G2" s="629"/>
      <c r="H2" s="629"/>
      <c r="I2" s="307"/>
      <c r="J2" s="307"/>
      <c r="K2" s="757"/>
      <c r="L2" s="758"/>
      <c r="M2" s="758"/>
      <c r="N2" s="758"/>
      <c r="O2" s="758"/>
      <c r="P2" s="758"/>
      <c r="Q2" s="759"/>
      <c r="R2" s="630"/>
      <c r="T2" s="764"/>
      <c r="U2" s="764"/>
      <c r="V2" s="764"/>
      <c r="W2" s="764"/>
      <c r="X2" s="764"/>
    </row>
    <row r="3" spans="2:24" ht="29.45" customHeight="1" x14ac:dyDescent="0.25">
      <c r="B3" s="209" t="s">
        <v>854</v>
      </c>
      <c r="C3" s="356" t="s">
        <v>855</v>
      </c>
      <c r="D3" s="357" t="s">
        <v>856</v>
      </c>
      <c r="E3" s="377" t="s">
        <v>857</v>
      </c>
      <c r="F3" s="67" t="s">
        <v>858</v>
      </c>
      <c r="G3" s="620" t="s">
        <v>859</v>
      </c>
      <c r="H3" s="637" t="s">
        <v>860</v>
      </c>
      <c r="I3" s="617"/>
      <c r="J3" s="286"/>
      <c r="K3" s="208" t="s">
        <v>33</v>
      </c>
      <c r="L3" s="208" t="s">
        <v>34</v>
      </c>
      <c r="M3" s="208" t="s">
        <v>861</v>
      </c>
      <c r="N3" s="638" t="s">
        <v>862</v>
      </c>
      <c r="O3" s="208" t="s">
        <v>863</v>
      </c>
      <c r="P3" s="208" t="s">
        <v>38</v>
      </c>
      <c r="Q3" s="208" t="s">
        <v>39</v>
      </c>
      <c r="R3" s="638" t="s">
        <v>864</v>
      </c>
      <c r="T3" s="761" t="s">
        <v>865</v>
      </c>
      <c r="U3" s="760" t="s">
        <v>866</v>
      </c>
      <c r="V3" s="760"/>
      <c r="W3" s="760"/>
      <c r="X3" s="760"/>
    </row>
    <row r="4" spans="2:24" ht="9.6" customHeight="1" x14ac:dyDescent="0.25">
      <c r="B4" s="91"/>
      <c r="C4" s="91"/>
      <c r="D4" s="91"/>
      <c r="E4" s="358"/>
      <c r="F4" s="358"/>
      <c r="G4" s="621"/>
      <c r="H4" s="358"/>
      <c r="I4" s="286"/>
      <c r="J4" s="286"/>
      <c r="K4" s="358"/>
      <c r="L4" s="358"/>
      <c r="M4" s="358"/>
      <c r="O4" s="358"/>
      <c r="P4" s="358"/>
      <c r="Q4" s="358"/>
      <c r="T4" s="762"/>
      <c r="U4" s="760"/>
      <c r="V4" s="760"/>
      <c r="W4" s="760"/>
      <c r="X4" s="760"/>
    </row>
    <row r="5" spans="2:24" x14ac:dyDescent="0.25">
      <c r="B5" s="90" t="s">
        <v>867</v>
      </c>
      <c r="C5" s="99">
        <f>'1'!$E$3</f>
        <v>0</v>
      </c>
      <c r="D5" s="97">
        <f>IF(Capa!$B$6="B",9,IF(Capa!$B$6=1,18,SUM(D6:D8)))</f>
        <v>9</v>
      </c>
      <c r="E5" s="359">
        <f>'1'!M3</f>
        <v>0</v>
      </c>
      <c r="F5" s="360">
        <f>IF(OR(Capa!$B$6="B",Capa!$B$6=1),D5*E5,SUM(F6:F8))</f>
        <v>0</v>
      </c>
      <c r="G5" s="633">
        <f>D5-F5</f>
        <v>9</v>
      </c>
      <c r="H5" s="635">
        <f>'1'!U3*100</f>
        <v>0</v>
      </c>
      <c r="I5" s="618"/>
      <c r="J5" s="286"/>
      <c r="K5" s="361">
        <f>'1'!M4</f>
        <v>0</v>
      </c>
      <c r="L5" s="361">
        <f>'1'!N4</f>
        <v>0</v>
      </c>
      <c r="M5" s="361">
        <f>'1'!O4</f>
        <v>0</v>
      </c>
      <c r="N5" s="417">
        <f>'1'!P4</f>
        <v>0</v>
      </c>
      <c r="O5" s="361">
        <f>'1'!Q4</f>
        <v>0</v>
      </c>
      <c r="P5" s="361">
        <f>'1'!R4</f>
        <v>0</v>
      </c>
      <c r="Q5" s="361">
        <f>'1'!S4</f>
        <v>0</v>
      </c>
      <c r="R5" s="417">
        <f>'1'!T4</f>
        <v>0</v>
      </c>
      <c r="T5" s="763"/>
      <c r="U5" s="371" t="s">
        <v>868</v>
      </c>
      <c r="V5" s="371" t="s">
        <v>869</v>
      </c>
      <c r="W5" s="371" t="s">
        <v>870</v>
      </c>
      <c r="X5" s="371" t="s">
        <v>871</v>
      </c>
    </row>
    <row r="6" spans="2:24" ht="14.85" customHeight="1" x14ac:dyDescent="0.25">
      <c r="B6" s="172" t="s">
        <v>50</v>
      </c>
      <c r="C6" s="94"/>
      <c r="D6" s="106" t="str">
        <f>IF(Capa!$B$6=2,10,IF(Capa!$B$6=3,20,""))</f>
        <v/>
      </c>
      <c r="E6" s="362" t="str">
        <f>IF(OR(Capa!$B$6="B",Capa!$B$6=1),"",'1'!M7)</f>
        <v/>
      </c>
      <c r="F6" s="363" t="str">
        <f>IF(OR(Capa!$B$6="B",Capa!$B$6=1),"",D6*E6)</f>
        <v/>
      </c>
      <c r="G6" s="632" t="str">
        <f>IF(OR(Capa!$B$6=2,Capa!$B$6=3),D6-F6,"")</f>
        <v/>
      </c>
      <c r="H6" s="627">
        <f>'1'!P8</f>
        <v>0</v>
      </c>
      <c r="I6" s="624"/>
      <c r="J6" s="286"/>
      <c r="K6" s="358"/>
      <c r="L6" s="358"/>
      <c r="M6" s="358"/>
      <c r="N6" s="418">
        <f>'1'!P8</f>
        <v>0</v>
      </c>
      <c r="O6" s="358"/>
      <c r="P6" s="358"/>
      <c r="Q6" s="358"/>
      <c r="R6" s="418">
        <f>'1'!T8</f>
        <v>0</v>
      </c>
      <c r="T6" s="371">
        <v>0</v>
      </c>
      <c r="U6" s="372">
        <v>0</v>
      </c>
      <c r="V6" s="372">
        <v>0</v>
      </c>
      <c r="W6" s="372">
        <v>0</v>
      </c>
      <c r="X6" s="372">
        <v>0</v>
      </c>
    </row>
    <row r="7" spans="2:24" ht="14.85" customHeight="1" x14ac:dyDescent="0.25">
      <c r="B7" s="172" t="s">
        <v>872</v>
      </c>
      <c r="C7" s="94"/>
      <c r="D7" s="106" t="str">
        <f>IF(Capa!$B$6=2,12,IF(Capa!$B$6=3,25,""))</f>
        <v/>
      </c>
      <c r="E7" s="362" t="str">
        <f>IF(OR(Capa!$B$6="B",Capa!$B$6=1),"",'1'!M43)</f>
        <v/>
      </c>
      <c r="F7" s="363" t="str">
        <f>IF(OR(Capa!$B$6="B",Capa!$B$6=1),"",D7*E7)</f>
        <v/>
      </c>
      <c r="G7" s="632" t="str">
        <f>IF(OR(Capa!$B$6=2,Capa!$B$6=3),D7-F7,"")</f>
        <v/>
      </c>
      <c r="H7" s="627">
        <f>'1'!P44</f>
        <v>0</v>
      </c>
      <c r="I7" s="624"/>
      <c r="J7" s="286"/>
      <c r="K7" s="358"/>
      <c r="L7" s="358"/>
      <c r="M7" s="358"/>
      <c r="N7" s="418">
        <f>'1'!P44</f>
        <v>0</v>
      </c>
      <c r="O7" s="358"/>
      <c r="P7" s="358"/>
      <c r="Q7" s="358"/>
      <c r="R7" s="418">
        <f>'1'!T44</f>
        <v>0</v>
      </c>
      <c r="T7" s="371">
        <v>1</v>
      </c>
      <c r="U7" s="372">
        <v>100</v>
      </c>
      <c r="V7" s="372">
        <v>50</v>
      </c>
      <c r="W7" s="372">
        <v>33</v>
      </c>
      <c r="X7" s="372">
        <v>25</v>
      </c>
    </row>
    <row r="8" spans="2:24" ht="14.85" customHeight="1" x14ac:dyDescent="0.25">
      <c r="B8" s="172" t="s">
        <v>125</v>
      </c>
      <c r="C8" s="94"/>
      <c r="D8" s="106" t="str">
        <f>IF(Capa!$B$6=2,13,IF(Capa!$B$6=3,25,""))</f>
        <v/>
      </c>
      <c r="E8" s="362" t="str">
        <f>IF(OR(Capa!$B$6="B",Capa!$B$6=1),"",'1'!M91)</f>
        <v/>
      </c>
      <c r="F8" s="363" t="str">
        <f>IF(OR(Capa!$B$6="B",Capa!$B$6=1),"",D8*E8)</f>
        <v/>
      </c>
      <c r="G8" s="632" t="str">
        <f>IF(OR(Capa!$B$6=2,Capa!$B$6=3),D8-F8,"")</f>
        <v/>
      </c>
      <c r="H8" s="627">
        <f>'1'!P92</f>
        <v>0</v>
      </c>
      <c r="I8" s="624"/>
      <c r="J8" s="286"/>
      <c r="K8" s="358"/>
      <c r="L8" s="358"/>
      <c r="M8" s="358"/>
      <c r="N8" s="418">
        <f>'1'!P92</f>
        <v>0</v>
      </c>
      <c r="O8" s="358"/>
      <c r="P8" s="358"/>
      <c r="Q8" s="358"/>
      <c r="R8" s="418">
        <f>'1'!T92</f>
        <v>0</v>
      </c>
      <c r="T8" s="371">
        <v>2</v>
      </c>
      <c r="U8" s="372">
        <v>100</v>
      </c>
      <c r="V8" s="372">
        <v>100</v>
      </c>
      <c r="W8" s="372">
        <v>67</v>
      </c>
      <c r="X8" s="372">
        <v>50</v>
      </c>
    </row>
    <row r="9" spans="2:24" x14ac:dyDescent="0.25">
      <c r="B9" s="90" t="s">
        <v>873</v>
      </c>
      <c r="C9" s="99">
        <f>'2'!$E$3</f>
        <v>0</v>
      </c>
      <c r="D9" s="97">
        <f>IF(Capa!$B$6="B",9,IF(Capa!$B$6=1,18,SUM(D10:D12)))</f>
        <v>9</v>
      </c>
      <c r="E9" s="359">
        <f ca="1">IF(Capa!$E$7&lt;&gt;ABS(YEAR(TODAY())-Capa!$K$3),0.05,'2'!M3)</f>
        <v>0.05</v>
      </c>
      <c r="F9" s="360">
        <f ca="1">IF(OR(Capa!$B$6="B",Capa!$B$6=1),D9*E9,SUM(F10:F12))</f>
        <v>0.45</v>
      </c>
      <c r="G9" s="634">
        <f ca="1">D9-F9</f>
        <v>8.5500000000000007</v>
      </c>
      <c r="H9" s="635">
        <f>'2'!U3*100</f>
        <v>0</v>
      </c>
      <c r="I9" s="619"/>
      <c r="J9" s="286"/>
      <c r="K9" s="361">
        <f>'2'!M4</f>
        <v>0</v>
      </c>
      <c r="L9" s="361">
        <f>'2'!N4</f>
        <v>0</v>
      </c>
      <c r="M9" s="361">
        <f>'2'!O4</f>
        <v>0</v>
      </c>
      <c r="N9" s="417">
        <f>'2'!P8</f>
        <v>0</v>
      </c>
      <c r="O9" s="361">
        <f>'2'!Q4</f>
        <v>0</v>
      </c>
      <c r="P9" s="361">
        <f>'2'!R4</f>
        <v>0</v>
      </c>
      <c r="Q9" s="361">
        <f>'2'!S4</f>
        <v>0</v>
      </c>
      <c r="R9" s="417">
        <f>'2'!T8</f>
        <v>0</v>
      </c>
      <c r="T9" s="371">
        <v>3</v>
      </c>
      <c r="U9" s="372">
        <v>100</v>
      </c>
      <c r="V9" s="372">
        <v>100</v>
      </c>
      <c r="W9" s="372">
        <v>100</v>
      </c>
      <c r="X9" s="372">
        <v>75</v>
      </c>
    </row>
    <row r="10" spans="2:24" ht="14.85" customHeight="1" x14ac:dyDescent="0.25">
      <c r="B10" s="172" t="s">
        <v>874</v>
      </c>
      <c r="C10" s="94"/>
      <c r="D10" s="106" t="str">
        <f>IF(Capa!$B$6=2,10,IF(Capa!$B$6=3,20,""))</f>
        <v/>
      </c>
      <c r="E10" s="362" t="str">
        <f ca="1">IF(OR(Capa!$B$6="B",Capa!$B$6=1),"",IF(Capa!$E$7&lt;&gt;ABS(YEAR(TODAY())-Capa!$K$3),0.05,'2'!M7))</f>
        <v/>
      </c>
      <c r="F10" s="363" t="str">
        <f>IF(OR(Capa!$B$6="B",Capa!$B$6=1),"",D10*E10)</f>
        <v/>
      </c>
      <c r="G10" s="632" t="str">
        <f>IF(OR(Capa!$B$6=2,Capa!$B$6=3),D10-F10,"")</f>
        <v/>
      </c>
      <c r="H10" s="627">
        <f>'2'!P8</f>
        <v>0</v>
      </c>
      <c r="I10" s="624"/>
      <c r="J10" s="286"/>
      <c r="K10" s="358"/>
      <c r="L10" s="358"/>
      <c r="M10" s="358"/>
      <c r="N10" s="418">
        <f>'2'!P8</f>
        <v>0</v>
      </c>
      <c r="O10" s="358"/>
      <c r="P10" s="358"/>
      <c r="Q10" s="358"/>
      <c r="R10" s="418">
        <f>'2'!T8</f>
        <v>0</v>
      </c>
      <c r="T10" s="371">
        <v>4</v>
      </c>
      <c r="U10" s="372">
        <v>100</v>
      </c>
      <c r="V10" s="372">
        <v>100</v>
      </c>
      <c r="W10" s="372">
        <v>100</v>
      </c>
      <c r="X10" s="372">
        <v>100</v>
      </c>
    </row>
    <row r="11" spans="2:24" ht="14.85" customHeight="1" x14ac:dyDescent="0.25">
      <c r="B11" s="172" t="s">
        <v>875</v>
      </c>
      <c r="C11" s="94"/>
      <c r="D11" s="106" t="str">
        <f>IF(Capa!$B$6=2,12,IF(Capa!$B$6=3,25,""))</f>
        <v/>
      </c>
      <c r="E11" s="362" t="str">
        <f ca="1">IF(OR(Capa!$B$6="B",Capa!$B$6=1),"",IF(Capa!$E$7&lt;&gt;ABS(YEAR(TODAY())-Capa!$K$3),0.05,'2'!M91))</f>
        <v/>
      </c>
      <c r="F11" s="363" t="str">
        <f>IF(OR(Capa!$B$6="B",Capa!$B$6=1),"",D11*E11)</f>
        <v/>
      </c>
      <c r="G11" s="632" t="str">
        <f>IF(OR(Capa!$B$6=2,Capa!$B$6=3),D11-F11,"")</f>
        <v/>
      </c>
      <c r="H11" s="627">
        <f>'2'!P92</f>
        <v>0</v>
      </c>
      <c r="I11" s="624"/>
      <c r="J11" s="286"/>
      <c r="K11" s="358"/>
      <c r="L11" s="358"/>
      <c r="M11" s="358"/>
      <c r="N11" s="418">
        <f>'2'!P92</f>
        <v>0</v>
      </c>
      <c r="O11" s="358"/>
      <c r="P11" s="358"/>
      <c r="Q11" s="358"/>
      <c r="R11" s="418">
        <f>'2'!T92</f>
        <v>0</v>
      </c>
      <c r="T11" s="751" t="s">
        <v>876</v>
      </c>
      <c r="U11" s="752"/>
      <c r="V11" s="752"/>
      <c r="W11" s="752"/>
      <c r="X11" s="753"/>
    </row>
    <row r="12" spans="2:24" ht="14.85" customHeight="1" x14ac:dyDescent="0.25">
      <c r="B12" s="172" t="s">
        <v>877</v>
      </c>
      <c r="C12" s="94"/>
      <c r="D12" s="106" t="str">
        <f>IF(Capa!$B$6=2,13,IF(Capa!$B$6=3,25,""))</f>
        <v/>
      </c>
      <c r="E12" s="362" t="str">
        <f ca="1">IF(OR(Capa!$B$6="B",Capa!$B$6=1),"",IF(Capa!$E$7&lt;&gt;ABS(YEAR(TODAY())-Capa!$K$3),0.05,'2'!M118))</f>
        <v/>
      </c>
      <c r="F12" s="363" t="str">
        <f>IF(OR(Capa!$B$6="B",Capa!$B$6=1),"",D12*E12)</f>
        <v/>
      </c>
      <c r="G12" s="632" t="str">
        <f>IF(OR(Capa!$B$6=2,Capa!$B$6=3),D12-F12,"")</f>
        <v/>
      </c>
      <c r="H12" s="627">
        <f>'2'!P92</f>
        <v>0</v>
      </c>
      <c r="I12" s="624"/>
      <c r="J12" s="286"/>
      <c r="K12" s="358"/>
      <c r="L12" s="358"/>
      <c r="M12" s="358"/>
      <c r="N12" s="418">
        <f>'2'!P119</f>
        <v>0</v>
      </c>
      <c r="O12" s="358"/>
      <c r="P12" s="358"/>
      <c r="Q12" s="358"/>
      <c r="R12" s="418">
        <f>'2'!T119</f>
        <v>0</v>
      </c>
    </row>
    <row r="13" spans="2:24" x14ac:dyDescent="0.25">
      <c r="B13" s="90" t="s">
        <v>878</v>
      </c>
      <c r="C13" s="99">
        <f>'3'!$E$3</f>
        <v>0</v>
      </c>
      <c r="D13" s="97">
        <f>IF(Capa!$B$6="B",10,IF(Capa!$B$6=1,20,SUM(D14:D15)))</f>
        <v>10</v>
      </c>
      <c r="E13" s="359">
        <f ca="1">IF(Capa!$E$7&lt;&gt;ABS(YEAR(TODAY())-Capa!$K$3),0.05,'3'!M3)</f>
        <v>0.05</v>
      </c>
      <c r="F13" s="360">
        <f ca="1">IF(OR(Capa!$B$6="B",Capa!$B$6=1),D13*E13,SUM(F14:F15))</f>
        <v>0.5</v>
      </c>
      <c r="G13" s="633">
        <f ca="1">D13-F13</f>
        <v>9.5</v>
      </c>
      <c r="H13" s="635">
        <f>'3'!U3*100</f>
        <v>0</v>
      </c>
      <c r="I13" s="618"/>
      <c r="J13" s="286"/>
      <c r="K13" s="361">
        <f>'3'!M4</f>
        <v>0</v>
      </c>
      <c r="L13" s="361">
        <f>'3'!N4</f>
        <v>0</v>
      </c>
      <c r="M13" s="361">
        <f>'3'!O4</f>
        <v>0</v>
      </c>
      <c r="N13" s="417">
        <f>'3'!P4</f>
        <v>0</v>
      </c>
      <c r="O13" s="361">
        <f>'3'!Q4</f>
        <v>0</v>
      </c>
      <c r="P13" s="361">
        <f>'3'!R4</f>
        <v>0</v>
      </c>
      <c r="Q13" s="361">
        <f>'3'!S4</f>
        <v>0</v>
      </c>
      <c r="R13" s="417">
        <f>'3'!T4</f>
        <v>0</v>
      </c>
    </row>
    <row r="14" spans="2:24" ht="14.85" customHeight="1" x14ac:dyDescent="0.25">
      <c r="B14" s="172" t="s">
        <v>282</v>
      </c>
      <c r="C14" s="94"/>
      <c r="D14" s="106" t="str">
        <f>IF(Capa!$B$6=2,25,IF(Capa!$B$6=3,50,""))</f>
        <v/>
      </c>
      <c r="E14" s="362" t="str">
        <f ca="1">IF(OR(Capa!$B$6="B",Capa!$B$6=1),"",IF(Capa!$E$7&lt;&gt;ABS(YEAR(TODAY())-Capa!$K$3),0.05,'3'!M7))</f>
        <v/>
      </c>
      <c r="F14" s="363" t="str">
        <f>IF(OR(Capa!$B$6="B",Capa!$B$6=1),"",D14*E14)</f>
        <v/>
      </c>
      <c r="G14" s="632" t="str">
        <f>IF(OR(Capa!$B$6=2,Capa!$B$6=3),D14-F14,"")</f>
        <v/>
      </c>
      <c r="H14" s="627">
        <f>'3'!P8</f>
        <v>0</v>
      </c>
      <c r="I14" s="624"/>
      <c r="J14" s="286"/>
      <c r="K14" s="358"/>
      <c r="L14" s="358"/>
      <c r="M14" s="358"/>
      <c r="N14" s="418">
        <f>'3'!P8</f>
        <v>0</v>
      </c>
      <c r="O14" s="358"/>
      <c r="P14" s="358"/>
      <c r="Q14" s="358"/>
      <c r="R14" s="418">
        <f>'3'!T8</f>
        <v>0</v>
      </c>
    </row>
    <row r="15" spans="2:24" ht="14.85" customHeight="1" x14ac:dyDescent="0.25">
      <c r="B15" s="172" t="s">
        <v>879</v>
      </c>
      <c r="C15" s="94"/>
      <c r="D15" s="106" t="str">
        <f>IF(Capa!$B$6=2,15,IF(Capa!$B$6=3,30,""))</f>
        <v/>
      </c>
      <c r="E15" s="362" t="str">
        <f ca="1">IF(OR(Capa!$B$6="B",Capa!$B$6=1),"",IF(Capa!$E$7&lt;&gt;ABS(YEAR(TODAY())-Capa!$K$3),0.05,'3'!M82))</f>
        <v/>
      </c>
      <c r="F15" s="363" t="str">
        <f>IF(OR(Capa!$B$6="B",Capa!$B$6=1),"",D15*E15)</f>
        <v/>
      </c>
      <c r="G15" s="632" t="str">
        <f>IF(OR(Capa!$B$6=2,Capa!$B$6=3),D15-F15,"")</f>
        <v/>
      </c>
      <c r="H15" s="627">
        <f>'3'!P83</f>
        <v>0</v>
      </c>
      <c r="I15" s="624"/>
      <c r="J15" s="286"/>
      <c r="K15" s="358"/>
      <c r="L15" s="358"/>
      <c r="M15" s="358"/>
      <c r="N15" s="418">
        <f>'3'!P83</f>
        <v>0</v>
      </c>
      <c r="O15" s="358"/>
      <c r="P15" s="358"/>
      <c r="Q15" s="358"/>
      <c r="R15" s="418">
        <f>'3'!T83</f>
        <v>0</v>
      </c>
    </row>
    <row r="16" spans="2:24" x14ac:dyDescent="0.25">
      <c r="B16" s="90" t="s">
        <v>880</v>
      </c>
      <c r="C16" s="99">
        <f>'4'!$E$3</f>
        <v>0</v>
      </c>
      <c r="D16" s="97">
        <f>IF(Capa!$B$6="B",8,IF(Capa!$B$6=1,16,SUM(D17:D18)))</f>
        <v>8</v>
      </c>
      <c r="E16" s="359">
        <f ca="1">IF(Capa!$E$7&lt;&gt;ABS(YEAR(TODAY())-Capa!$K$3),0.05,'4'!M3)</f>
        <v>0.05</v>
      </c>
      <c r="F16" s="360">
        <f ca="1">IF(OR(Capa!$B$6="B",Capa!$B$6=1),D16*E16,SUM(F17:F18))</f>
        <v>0.4</v>
      </c>
      <c r="G16" s="634">
        <f ca="1">D16-F16</f>
        <v>7.6</v>
      </c>
      <c r="H16" s="635">
        <f>'4'!U3*100</f>
        <v>0</v>
      </c>
      <c r="I16" s="619"/>
      <c r="J16" s="286"/>
      <c r="K16" s="361">
        <f>'4'!M4</f>
        <v>0</v>
      </c>
      <c r="L16" s="361">
        <f>'4'!N4</f>
        <v>0</v>
      </c>
      <c r="M16" s="361">
        <f>'4'!O4</f>
        <v>0</v>
      </c>
      <c r="N16" s="417">
        <f>'4'!P4</f>
        <v>0</v>
      </c>
      <c r="O16" s="361">
        <f>'4'!Q4</f>
        <v>0</v>
      </c>
      <c r="P16" s="361">
        <f>'4'!R4</f>
        <v>0</v>
      </c>
      <c r="Q16" s="361">
        <f>'4'!S4</f>
        <v>0</v>
      </c>
      <c r="R16" s="417">
        <f>'4'!T4</f>
        <v>0</v>
      </c>
    </row>
    <row r="17" spans="2:18" ht="14.85" customHeight="1" x14ac:dyDescent="0.25">
      <c r="B17" s="172" t="s">
        <v>376</v>
      </c>
      <c r="C17" s="94"/>
      <c r="D17" s="106" t="str">
        <f>IF(Capa!$B$6=2,15,IF(Capa!$B$6=3,30,""))</f>
        <v/>
      </c>
      <c r="E17" s="362" t="str">
        <f ca="1">IF(OR(Capa!$B$6="B",Capa!$B$6=1),"",IF(Capa!$E$7&lt;&gt;ABS(YEAR(TODAY())-Capa!$K$3),0.05,'4'!M7))</f>
        <v/>
      </c>
      <c r="F17" s="363" t="str">
        <f>IF(OR(Capa!$B$6="B",Capa!$B$6=1),"",D17*E17)</f>
        <v/>
      </c>
      <c r="G17" s="632" t="str">
        <f>IF(OR(Capa!$B$6=2,Capa!$B$6=3),D17-F17,"")</f>
        <v/>
      </c>
      <c r="H17" s="627">
        <f>'4'!P8</f>
        <v>0</v>
      </c>
      <c r="I17" s="624"/>
      <c r="J17" s="286"/>
      <c r="K17" s="358"/>
      <c r="L17" s="358"/>
      <c r="M17" s="358"/>
      <c r="N17" s="418">
        <f>'4'!P8</f>
        <v>0</v>
      </c>
      <c r="O17" s="358"/>
      <c r="P17" s="358"/>
      <c r="Q17" s="358"/>
      <c r="R17" s="418">
        <f>'4'!T8</f>
        <v>0</v>
      </c>
    </row>
    <row r="18" spans="2:18" ht="14.85" customHeight="1" x14ac:dyDescent="0.25">
      <c r="B18" s="172" t="s">
        <v>404</v>
      </c>
      <c r="C18" s="94"/>
      <c r="D18" s="106" t="str">
        <f>IF(Capa!$B$6=2,15,IF(Capa!$B$6=3,30,""))</f>
        <v/>
      </c>
      <c r="E18" s="362" t="str">
        <f ca="1">IF(OR(Capa!$B$6="B",Capa!$B$6=1),"",IF(Capa!$E$7&lt;&gt;ABS(YEAR(TODAY())-Capa!$K$3),0.05,'4'!M42))</f>
        <v/>
      </c>
      <c r="F18" s="363" t="str">
        <f>IF(OR(Capa!$B$6="B",Capa!$B$6=1),"",D18*E18)</f>
        <v/>
      </c>
      <c r="G18" s="632" t="str">
        <f>IF(OR(Capa!$B$6=2,Capa!$B$6=3),D18-F18,"")</f>
        <v/>
      </c>
      <c r="H18" s="627">
        <f>'4'!P43</f>
        <v>0</v>
      </c>
      <c r="I18" s="624"/>
      <c r="J18" s="286"/>
      <c r="K18" s="358"/>
      <c r="L18" s="358"/>
      <c r="M18" s="358"/>
      <c r="N18" s="418">
        <f>'4'!P43</f>
        <v>0</v>
      </c>
      <c r="O18" s="358"/>
      <c r="P18" s="358"/>
      <c r="Q18" s="358"/>
      <c r="R18" s="418">
        <f>'4'!T43</f>
        <v>0</v>
      </c>
    </row>
    <row r="19" spans="2:18" x14ac:dyDescent="0.25">
      <c r="B19" s="95" t="s">
        <v>881</v>
      </c>
      <c r="C19" s="99">
        <f>'5'!$E$3</f>
        <v>0</v>
      </c>
      <c r="D19" s="97">
        <f>IF(Capa!$B$6="B",9,IF(Capa!$B$6=1,18,SUM(D20:D22)))</f>
        <v>9</v>
      </c>
      <c r="E19" s="359">
        <f ca="1">IF(Capa!$E$7&lt;&gt;ABS(YEAR(TODAY())-Capa!$K$3),0.05,'5'!M3)</f>
        <v>0.05</v>
      </c>
      <c r="F19" s="360">
        <f ca="1">IF(OR(Capa!$B$6="B",Capa!$B$6=1),D19*E19,SUM(F20:F22))</f>
        <v>0.45</v>
      </c>
      <c r="G19" s="634">
        <f ca="1">D19-F19</f>
        <v>8.5500000000000007</v>
      </c>
      <c r="H19" s="635">
        <f>'5'!U3*100</f>
        <v>0</v>
      </c>
      <c r="I19" s="619"/>
      <c r="J19" s="286"/>
      <c r="K19" s="361">
        <f>'5'!M4</f>
        <v>0</v>
      </c>
      <c r="L19" s="361">
        <f>'5'!N4</f>
        <v>0</v>
      </c>
      <c r="M19" s="361">
        <f>'5'!O4</f>
        <v>0</v>
      </c>
      <c r="N19" s="417">
        <f>'5'!P4</f>
        <v>0</v>
      </c>
      <c r="O19" s="361">
        <f>'5'!Q4</f>
        <v>0</v>
      </c>
      <c r="P19" s="361">
        <f>'5'!R4</f>
        <v>0</v>
      </c>
      <c r="Q19" s="361">
        <f>'5'!S4</f>
        <v>0</v>
      </c>
      <c r="R19" s="417">
        <f>'5'!T4</f>
        <v>0</v>
      </c>
    </row>
    <row r="20" spans="2:18" ht="14.85" customHeight="1" x14ac:dyDescent="0.25">
      <c r="B20" s="172" t="s">
        <v>434</v>
      </c>
      <c r="C20" s="94"/>
      <c r="D20" s="106" t="str">
        <f>IF(Capa!$B$6=2,10,IF(Capa!$B$6=3,20,""))</f>
        <v/>
      </c>
      <c r="E20" s="362" t="str">
        <f ca="1">IF(OR(Capa!$B$6="B",Capa!$B$6=1),"",IF(Capa!$E$7&lt;&gt;ABS(YEAR(TODAY())-Capa!$K$3),0.05,'5'!M7))</f>
        <v/>
      </c>
      <c r="F20" s="363" t="str">
        <f>IF(OR(Capa!$B$6="B",Capa!$B$6=1),"",D20*E20)</f>
        <v/>
      </c>
      <c r="G20" s="632" t="str">
        <f>IF(OR(Capa!$B$6=2,Capa!$B$6=3),D20-F20,"")</f>
        <v/>
      </c>
      <c r="H20" s="627">
        <f>'5'!P8</f>
        <v>0</v>
      </c>
      <c r="I20" s="625"/>
      <c r="J20" s="286"/>
      <c r="K20" s="358"/>
      <c r="L20" s="358"/>
      <c r="M20" s="358"/>
      <c r="N20" s="418">
        <f>'5'!P8</f>
        <v>0</v>
      </c>
      <c r="O20" s="358"/>
      <c r="P20" s="358"/>
      <c r="Q20" s="358"/>
      <c r="R20" s="418">
        <f>'5'!T8</f>
        <v>0</v>
      </c>
    </row>
    <row r="21" spans="2:18" ht="14.85" customHeight="1" x14ac:dyDescent="0.25">
      <c r="B21" s="172" t="s">
        <v>461</v>
      </c>
      <c r="C21" s="94"/>
      <c r="D21" s="106" t="str">
        <f>IF(Capa!$B$6=2,12,IF(Capa!$B$6=3,25,""))</f>
        <v/>
      </c>
      <c r="E21" s="362" t="str">
        <f ca="1">IF(OR(Capa!$B$6="B",Capa!$B$6=1),"",IF(Capa!$E$7&lt;&gt;ABS(YEAR(TODAY())-Capa!$K$3),0.05,'5'!M42))</f>
        <v/>
      </c>
      <c r="F21" s="363" t="str">
        <f>IF(OR(Capa!$B$6="B",Capa!$B$6=1),"",D21*E21)</f>
        <v/>
      </c>
      <c r="G21" s="632" t="str">
        <f>IF(OR(Capa!$B$6=2,Capa!$B$6=3),D21-F21,"")</f>
        <v/>
      </c>
      <c r="H21" s="627">
        <f>'5'!P43</f>
        <v>0</v>
      </c>
      <c r="I21" s="624"/>
      <c r="J21" s="286"/>
      <c r="K21" s="358"/>
      <c r="L21" s="358"/>
      <c r="M21" s="358"/>
      <c r="N21" s="418">
        <f>'5'!P43</f>
        <v>0</v>
      </c>
      <c r="O21" s="358"/>
      <c r="P21" s="358"/>
      <c r="Q21" s="358"/>
      <c r="R21" s="418">
        <f>'5'!T43</f>
        <v>0</v>
      </c>
    </row>
    <row r="22" spans="2:18" ht="14.85" customHeight="1" x14ac:dyDescent="0.25">
      <c r="B22" s="172" t="s">
        <v>490</v>
      </c>
      <c r="C22" s="94"/>
      <c r="D22" s="106" t="str">
        <f>IF(Capa!$B$6=2,13,IF(Capa!$B$6=3,25,""))</f>
        <v/>
      </c>
      <c r="E22" s="362" t="str">
        <f ca="1">IF(OR(Capa!$B$6="B",Capa!$B$6=1),"",IF(Capa!$E$7&lt;&gt;ABS(YEAR(TODAY())-Capa!$K$3),0.05,'5'!M78))</f>
        <v/>
      </c>
      <c r="F22" s="363" t="str">
        <f>IF(OR(Capa!$B$6="B",Capa!$B$6=1),"",D22*E22)</f>
        <v/>
      </c>
      <c r="G22" s="632" t="str">
        <f>IF(OR(Capa!$B$6=2,Capa!$B$6=3),D22-F22,"")</f>
        <v/>
      </c>
      <c r="H22" s="627">
        <f>'5'!P79</f>
        <v>0</v>
      </c>
      <c r="I22" s="624"/>
      <c r="J22" s="286"/>
      <c r="K22" s="358"/>
      <c r="L22" s="358"/>
      <c r="M22" s="358"/>
      <c r="N22" s="418">
        <f>'5'!P79</f>
        <v>0</v>
      </c>
      <c r="O22" s="358"/>
      <c r="P22" s="358"/>
      <c r="Q22" s="358"/>
      <c r="R22" s="418">
        <f>'5'!T79</f>
        <v>0</v>
      </c>
    </row>
    <row r="23" spans="2:18" x14ac:dyDescent="0.25">
      <c r="B23" s="95" t="s">
        <v>882</v>
      </c>
      <c r="C23" s="99">
        <f>'6'!$E$3</f>
        <v>0</v>
      </c>
      <c r="D23" s="97">
        <f>IF(Capa!$B$6="B",10,IF(Capa!$B$6=1,20,SUM(D24:D25)))</f>
        <v>10</v>
      </c>
      <c r="E23" s="359">
        <f ca="1">IF(Capa!$E$7&lt;&gt;ABS(YEAR(TODAY())-Capa!$K$3),0.05,'6'!M3)</f>
        <v>0.05</v>
      </c>
      <c r="F23" s="360">
        <f ca="1">IF(OR(Capa!$B$6="B",Capa!$B$6=1),D23*E23,SUM(F24:F25))</f>
        <v>0.5</v>
      </c>
      <c r="G23" s="634">
        <f ca="1">D23-F23</f>
        <v>9.5</v>
      </c>
      <c r="H23" s="635">
        <f>'6'!U3*100</f>
        <v>0</v>
      </c>
      <c r="I23" s="619"/>
      <c r="J23" s="286"/>
      <c r="K23" s="361">
        <f>'6'!M4</f>
        <v>0</v>
      </c>
      <c r="L23" s="361">
        <f>'6'!N4</f>
        <v>0</v>
      </c>
      <c r="M23" s="361">
        <f>'6'!O4</f>
        <v>0</v>
      </c>
      <c r="N23" s="417">
        <f>'6'!P4</f>
        <v>0</v>
      </c>
      <c r="O23" s="361">
        <f>'6'!Q4</f>
        <v>0</v>
      </c>
      <c r="P23" s="361">
        <f>'6'!R4</f>
        <v>0</v>
      </c>
      <c r="Q23" s="361">
        <f>'6'!S4</f>
        <v>0</v>
      </c>
      <c r="R23" s="417">
        <f>'6'!T4</f>
        <v>0</v>
      </c>
    </row>
    <row r="24" spans="2:18" ht="14.85" customHeight="1" x14ac:dyDescent="0.25">
      <c r="B24" s="172" t="s">
        <v>527</v>
      </c>
      <c r="C24" s="94"/>
      <c r="D24" s="106" t="str">
        <f>IF(Capa!$B$6=2,25,IF(Capa!$B$6=3,50,""))</f>
        <v/>
      </c>
      <c r="E24" s="362" t="str">
        <f ca="1">IF(OR(Capa!$B$6="B",Capa!$B$6=1),"",IF(Capa!$E$7&lt;&gt;ABS(YEAR(TODAY())-Capa!$K$3),0.05,'6'!M7))</f>
        <v/>
      </c>
      <c r="F24" s="363" t="str">
        <f>IF(OR(Capa!$B$6="B",Capa!$B$6=1),"",D24*E24)</f>
        <v/>
      </c>
      <c r="G24" s="632" t="str">
        <f>IF(OR(Capa!$B$6=2,Capa!$B$6=3),D24-F24,"")</f>
        <v/>
      </c>
      <c r="H24" s="627">
        <f>'6'!P8</f>
        <v>0</v>
      </c>
      <c r="I24" s="624"/>
      <c r="J24" s="286"/>
      <c r="K24" s="358"/>
      <c r="L24" s="358"/>
      <c r="M24" s="358"/>
      <c r="N24" s="418">
        <f>'6'!P8</f>
        <v>0</v>
      </c>
      <c r="O24" s="358"/>
      <c r="P24" s="358"/>
      <c r="Q24" s="358"/>
      <c r="R24" s="418">
        <f>'6'!T8</f>
        <v>0</v>
      </c>
    </row>
    <row r="25" spans="2:18" ht="14.85" customHeight="1" x14ac:dyDescent="0.25">
      <c r="B25" s="413" t="s">
        <v>608</v>
      </c>
      <c r="C25" s="94"/>
      <c r="D25" s="106" t="str">
        <f>IF(Capa!$B$6=2,15,IF(Capa!$B$6=3,30,""))</f>
        <v/>
      </c>
      <c r="E25" s="362" t="str">
        <f ca="1">IF(OR(Capa!$B$6="B",Capa!$B$6=1),"",IF(Capa!$E$7&lt;&gt;ABS(YEAR(TODAY())-Capa!$K$3),0.05,'6'!M108))</f>
        <v/>
      </c>
      <c r="F25" s="363" t="str">
        <f>IF(OR(Capa!$B$6="B",Capa!$B$6=1),"",D25*E25)</f>
        <v/>
      </c>
      <c r="G25" s="632" t="str">
        <f>IF(OR(Capa!$B$6=2,Capa!$B$6=3),D25-F25,"")</f>
        <v/>
      </c>
      <c r="H25" s="627">
        <f>'6'!P109</f>
        <v>0</v>
      </c>
      <c r="I25" s="624"/>
      <c r="J25" s="286"/>
      <c r="K25" s="358"/>
      <c r="L25" s="358"/>
      <c r="M25" s="358"/>
      <c r="N25" s="418">
        <f>'6'!P109</f>
        <v>0</v>
      </c>
      <c r="O25" s="358"/>
      <c r="P25" s="358"/>
      <c r="Q25" s="358"/>
      <c r="R25" s="418">
        <f>'6'!T109</f>
        <v>0</v>
      </c>
    </row>
    <row r="26" spans="2:18" x14ac:dyDescent="0.25">
      <c r="B26" s="90" t="s">
        <v>883</v>
      </c>
      <c r="C26" s="99">
        <f>'7'!$E$3</f>
        <v>0</v>
      </c>
      <c r="D26" s="97">
        <f>IF(Capa!$B$6="B",15,IF(Capa!$B$6=1,30,SUM(D27:D29)))</f>
        <v>15</v>
      </c>
      <c r="E26" s="359">
        <f ca="1">IF(Capa!$E$7&lt;&gt;ABS(YEAR(TODAY())-Capa!$K$3),0.05,'7'!M3)</f>
        <v>0.05</v>
      </c>
      <c r="F26" s="360">
        <f ca="1">IF(OR(Capa!$B$6="B",Capa!$B$6=1),D26*E26,SUM(F27:F29))</f>
        <v>0.75</v>
      </c>
      <c r="G26" s="633">
        <f ca="1">D26-F26</f>
        <v>14.25</v>
      </c>
      <c r="H26" s="635">
        <f>'7'!U3*100</f>
        <v>0</v>
      </c>
      <c r="I26" s="618"/>
      <c r="J26" s="286"/>
      <c r="K26" s="361">
        <f>'7'!M4</f>
        <v>0</v>
      </c>
      <c r="L26" s="361">
        <f>'7'!N4</f>
        <v>0</v>
      </c>
      <c r="M26" s="361">
        <f>'7'!O4</f>
        <v>0</v>
      </c>
      <c r="N26" s="417">
        <f>'7'!P4</f>
        <v>0</v>
      </c>
      <c r="O26" s="361">
        <f>'7'!Q4</f>
        <v>0</v>
      </c>
      <c r="P26" s="361">
        <f>'7'!R4</f>
        <v>0</v>
      </c>
      <c r="Q26" s="361">
        <f>'7'!S4</f>
        <v>0</v>
      </c>
      <c r="R26" s="417">
        <f>'7'!T4</f>
        <v>0</v>
      </c>
    </row>
    <row r="27" spans="2:18" ht="14.85" customHeight="1" x14ac:dyDescent="0.25">
      <c r="B27" s="172" t="s">
        <v>645</v>
      </c>
      <c r="C27" s="94"/>
      <c r="D27" s="107" t="str">
        <f>IF(Capa!$B$6=2,25,IF(Capa!$B$6=3,50,""))</f>
        <v/>
      </c>
      <c r="E27" s="362" t="str">
        <f ca="1">IF(OR(Capa!$B$6="B",Capa!$B$6=1),"",IF(Capa!$E$7&lt;&gt;ABS(YEAR(TODAY())-Capa!$K$3),0.05,'7'!M7))</f>
        <v/>
      </c>
      <c r="F27" s="363" t="str">
        <f>IF(OR(Capa!$B$6="B",Capa!$B$6=1),"",D27*E27)</f>
        <v/>
      </c>
      <c r="G27" s="632" t="str">
        <f>IF(OR(Capa!$B$6=2,Capa!$B$6=3),D27-F27,"")</f>
        <v/>
      </c>
      <c r="H27" s="627">
        <f>'7'!P8</f>
        <v>0</v>
      </c>
      <c r="I27" s="624"/>
      <c r="J27" s="286"/>
      <c r="K27" s="358"/>
      <c r="L27" s="358"/>
      <c r="M27" s="358"/>
      <c r="N27" s="418">
        <f>'7'!P8</f>
        <v>0</v>
      </c>
      <c r="O27" s="358"/>
      <c r="P27" s="358"/>
      <c r="Q27" s="358"/>
      <c r="R27" s="418">
        <f>'7'!T8</f>
        <v>0</v>
      </c>
    </row>
    <row r="28" spans="2:18" ht="14.85" customHeight="1" x14ac:dyDescent="0.25">
      <c r="B28" s="172" t="s">
        <v>714</v>
      </c>
      <c r="C28" s="94"/>
      <c r="D28" s="107" t="str">
        <f>IF(Capa!$B$6=2,15,IF(Capa!$B$6=3,30,""))</f>
        <v/>
      </c>
      <c r="E28" s="362" t="str">
        <f ca="1">IF(OR(Capa!$B$6="B",Capa!$B$6=1),"",IF(Capa!$E$7&lt;&gt;ABS(YEAR(TODAY())-Capa!$K$3),0.05,'7'!M91))</f>
        <v/>
      </c>
      <c r="F28" s="363" t="str">
        <f>IF(OR(Capa!$B$6="B",Capa!$B$6=1),"",D28*E28)</f>
        <v/>
      </c>
      <c r="G28" s="632" t="str">
        <f>IF(OR(Capa!$B$6=2,Capa!$B$6=3),D28-F28,"")</f>
        <v/>
      </c>
      <c r="H28" s="627">
        <f>'7'!P92</f>
        <v>0</v>
      </c>
      <c r="I28" s="624"/>
      <c r="J28" s="286"/>
      <c r="K28" s="358"/>
      <c r="L28" s="358"/>
      <c r="M28" s="358"/>
      <c r="N28" s="418">
        <f>'7'!P92</f>
        <v>0</v>
      </c>
      <c r="O28" s="358"/>
      <c r="P28" s="358"/>
      <c r="Q28" s="358"/>
      <c r="R28" s="418">
        <f>'7'!T92</f>
        <v>0</v>
      </c>
    </row>
    <row r="29" spans="2:18" ht="14.85" customHeight="1" x14ac:dyDescent="0.25">
      <c r="B29" s="172" t="s">
        <v>884</v>
      </c>
      <c r="C29" s="94"/>
      <c r="D29" s="107" t="str">
        <f>IF(Capa!$B$6=2,15,IF(Capa!$B$6=3,30,""))</f>
        <v/>
      </c>
      <c r="E29" s="362" t="str">
        <f ca="1">IF(OR(Capa!$B$6="B",Capa!$B$6=1),"",IF(Capa!$E$7&lt;&gt;ABS(YEAR(TODAY())-Capa!$K$3),0.05,'7'!M158))</f>
        <v/>
      </c>
      <c r="F29" s="363" t="str">
        <f>IF(OR(Capa!$B$6="B",Capa!$B$6=1),"",D29*E29)</f>
        <v/>
      </c>
      <c r="G29" s="632" t="str">
        <f>IF(OR(Capa!$B$6=2,Capa!$B$6=3),D29-F29,"")</f>
        <v/>
      </c>
      <c r="H29" s="627">
        <f>'7'!P159</f>
        <v>0</v>
      </c>
      <c r="I29" s="624"/>
      <c r="J29" s="286"/>
      <c r="K29" s="358"/>
      <c r="L29" s="358"/>
      <c r="M29" s="358"/>
      <c r="N29" s="418">
        <f>'7'!P159</f>
        <v>0</v>
      </c>
      <c r="O29" s="358"/>
      <c r="P29" s="358"/>
      <c r="Q29" s="358"/>
      <c r="R29" s="418">
        <f>'7'!T159</f>
        <v>0</v>
      </c>
    </row>
    <row r="30" spans="2:18" x14ac:dyDescent="0.25">
      <c r="B30" s="93" t="s">
        <v>885</v>
      </c>
      <c r="C30" s="93"/>
      <c r="D30" s="93">
        <f>D5+D9+D13+D16+D19+D23+D26</f>
        <v>70</v>
      </c>
      <c r="E30" s="365">
        <f ca="1">IF(Capa!$E$7&lt;&gt;ABS(YEAR(TODAY())-Capa!$K$3),0.05,F30/D30)</f>
        <v>0.05</v>
      </c>
      <c r="F30" s="366">
        <f ca="1">F5+F9+F13+F16+F19+F23+F26</f>
        <v>3.05</v>
      </c>
      <c r="G30" s="690">
        <f ca="1">D30-F30</f>
        <v>66.95</v>
      </c>
      <c r="H30" s="286"/>
      <c r="I30" s="628"/>
      <c r="J30" s="622" t="s">
        <v>886</v>
      </c>
      <c r="K30" s="367">
        <f t="shared" ref="K30:Q30" si="0">IF(ISNUMBER(AVERAGE(K5:K26)),AVERAGE(K5:K26),"")</f>
        <v>0</v>
      </c>
      <c r="L30" s="367">
        <f t="shared" si="0"/>
        <v>0</v>
      </c>
      <c r="M30" s="367">
        <f t="shared" si="0"/>
        <v>0</v>
      </c>
      <c r="N30" s="416">
        <f>SUM(N5,N9,N13,N16,N19,N23,N26)/7</f>
        <v>0</v>
      </c>
      <c r="O30" s="367">
        <f t="shared" si="0"/>
        <v>0</v>
      </c>
      <c r="P30" s="367">
        <f t="shared" si="0"/>
        <v>0</v>
      </c>
      <c r="Q30" s="367">
        <f t="shared" si="0"/>
        <v>0</v>
      </c>
      <c r="R30" s="416">
        <f>SUM(R5,R9,R13,R16,R19,R23,R26)/7</f>
        <v>0</v>
      </c>
    </row>
    <row r="31" spans="2:18" ht="8.4499999999999993" customHeight="1" x14ac:dyDescent="0.25">
      <c r="B31" s="286"/>
      <c r="C31" s="286"/>
      <c r="D31" s="286"/>
      <c r="E31" s="286"/>
      <c r="F31" s="286"/>
      <c r="G31" s="286"/>
      <c r="H31" s="286"/>
      <c r="I31" s="286"/>
      <c r="J31" s="286"/>
      <c r="K31" s="626"/>
      <c r="L31" s="626"/>
      <c r="M31" s="626"/>
      <c r="N31" s="626"/>
      <c r="O31" s="626"/>
      <c r="P31" s="626"/>
      <c r="Q31" s="626"/>
      <c r="R31" s="626"/>
    </row>
    <row r="32" spans="2:18" ht="19.5" customHeight="1" x14ac:dyDescent="0.25">
      <c r="B32" s="90" t="s">
        <v>887</v>
      </c>
      <c r="C32" s="90"/>
      <c r="D32" s="93">
        <f>SUM(D33:D38)</f>
        <v>55</v>
      </c>
      <c r="E32" s="368">
        <f ca="1">IF(Capa!$E$7&lt;&gt;ABS(YEAR(TODAY())-Capa!$K$3),0.05,F32/D32)</f>
        <v>0.05</v>
      </c>
      <c r="F32" s="369">
        <f>SUM(F33:F38)</f>
        <v>0</v>
      </c>
      <c r="G32" s="366">
        <f>D32-F32</f>
        <v>55</v>
      </c>
      <c r="H32" s="286"/>
      <c r="I32" s="286"/>
      <c r="J32" s="286"/>
      <c r="K32" s="636" t="s">
        <v>808</v>
      </c>
      <c r="L32" s="639" t="s">
        <v>888</v>
      </c>
      <c r="M32" s="636" t="s">
        <v>889</v>
      </c>
      <c r="N32" s="626"/>
      <c r="O32" s="636" t="s">
        <v>811</v>
      </c>
      <c r="P32" s="626"/>
      <c r="Q32" s="626"/>
      <c r="R32" s="626"/>
    </row>
    <row r="33" spans="2:18" x14ac:dyDescent="0.25">
      <c r="B33" s="172" t="s">
        <v>890</v>
      </c>
      <c r="C33" s="94"/>
      <c r="D33" s="106">
        <f>IF(Capa!$B$6="B",12,IF(Capa!$B$6=1,24,IF(Capa!$B$6=2,50,IF(Capa!$B$6=3,100,""))))</f>
        <v>12</v>
      </c>
      <c r="E33" s="362">
        <f>'8.1'!B47</f>
        <v>0</v>
      </c>
      <c r="F33" s="363">
        <f t="shared" ref="F33:F38" si="1">D33*E33</f>
        <v>0</v>
      </c>
      <c r="G33" s="364">
        <f t="shared" ref="G33:G38" si="2">D33-F33</f>
        <v>12</v>
      </c>
      <c r="H33" s="286"/>
      <c r="I33" s="286"/>
      <c r="J33" s="286"/>
      <c r="K33" s="370">
        <f>IF('8.1'!I$4="Sem",0,'8.1'!I$4)</f>
        <v>0</v>
      </c>
      <c r="L33" s="370">
        <f>IF('8.1'!O$4="Sem",0,'8.1'!O$4)</f>
        <v>0</v>
      </c>
      <c r="M33" s="370">
        <f>IF('8.1'!U$4="Sem",0,'8.1'!U$4)</f>
        <v>0</v>
      </c>
      <c r="N33" s="286"/>
      <c r="O33" s="370">
        <f>IF('8.1'!X$4="Sem",0,'8.1'!X$4)</f>
        <v>0</v>
      </c>
      <c r="P33" s="286"/>
      <c r="Q33" s="286"/>
      <c r="R33" s="286"/>
    </row>
    <row r="34" spans="2:18" x14ac:dyDescent="0.25">
      <c r="B34" s="172" t="s">
        <v>891</v>
      </c>
      <c r="C34" s="94"/>
      <c r="D34" s="106">
        <f>IF(Capa!$B$6="B",6,IF(Capa!$B$6=1,12,IF(Capa!$B$6=2,25,IF(Capa!$B$6=3,50,""))))</f>
        <v>6</v>
      </c>
      <c r="E34" s="362">
        <f>'8.2'!B49</f>
        <v>0</v>
      </c>
      <c r="F34" s="363">
        <f t="shared" si="1"/>
        <v>0</v>
      </c>
      <c r="G34" s="364">
        <f t="shared" si="2"/>
        <v>6</v>
      </c>
      <c r="H34" s="286"/>
      <c r="I34" s="286"/>
      <c r="J34" s="286"/>
      <c r="K34" s="370">
        <f>IF('8.2'!I$4="Sem",0,'8.2'!I$4)</f>
        <v>0</v>
      </c>
      <c r="L34" s="370">
        <f>IF('8.2'!O$4="Sem",0,'8.2'!O$4)</f>
        <v>0</v>
      </c>
      <c r="M34" s="370">
        <f>IF('8.2'!U$4="Sem",0,'8.2'!U$4)</f>
        <v>0</v>
      </c>
      <c r="N34" s="286"/>
      <c r="O34" s="370">
        <f>IF('8.2'!X$4="Sem",0,'8.2'!X$4)</f>
        <v>0</v>
      </c>
      <c r="P34" s="286"/>
      <c r="Q34" s="286"/>
      <c r="R34" s="286"/>
    </row>
    <row r="35" spans="2:18" x14ac:dyDescent="0.25">
      <c r="B35" s="173" t="s">
        <v>892</v>
      </c>
      <c r="C35" s="96"/>
      <c r="D35" s="106">
        <f>IF(Capa!$B$6="B",6,IF(Capa!$B$6=1,12,IF(Capa!$B$6=2,25,IF(Capa!$B$6=3,50,""))))</f>
        <v>6</v>
      </c>
      <c r="E35" s="362">
        <f>'8.3'!B45</f>
        <v>0</v>
      </c>
      <c r="F35" s="363">
        <f t="shared" si="1"/>
        <v>0</v>
      </c>
      <c r="G35" s="364">
        <f t="shared" si="2"/>
        <v>6</v>
      </c>
      <c r="H35" s="286"/>
      <c r="I35" s="286"/>
      <c r="J35" s="286"/>
      <c r="K35" s="370">
        <f>IF('8.3'!I$4="Sem",0,'8.3'!I$4)</f>
        <v>0</v>
      </c>
      <c r="L35" s="370">
        <f>IF('8.3'!O$4="Sem",0,'8.3'!O$4)</f>
        <v>0</v>
      </c>
      <c r="M35" s="370">
        <f>IF('8.3'!U$4="Sem",0,'8.3'!U$4)</f>
        <v>0</v>
      </c>
      <c r="N35" s="286"/>
      <c r="O35" s="370">
        <f>IF('8.3'!X$4="Sem",0,'8.3'!X$4)</f>
        <v>0</v>
      </c>
      <c r="P35" s="286"/>
      <c r="Q35" s="286"/>
      <c r="R35" s="286"/>
    </row>
    <row r="36" spans="2:18" x14ac:dyDescent="0.25">
      <c r="B36" s="174" t="s">
        <v>893</v>
      </c>
      <c r="C36" s="92"/>
      <c r="D36" s="106">
        <f>IF(Capa!$B$6="B",12,IF(Capa!$B$6=1,24,IF(Capa!$B$6=2,50,IF(Capa!$B$6=3,100,""))))</f>
        <v>12</v>
      </c>
      <c r="E36" s="362">
        <f>'8.4'!B51</f>
        <v>0</v>
      </c>
      <c r="F36" s="363">
        <f t="shared" si="1"/>
        <v>0</v>
      </c>
      <c r="G36" s="364">
        <f t="shared" si="2"/>
        <v>12</v>
      </c>
      <c r="H36" s="286"/>
      <c r="I36" s="286"/>
      <c r="J36" s="286"/>
      <c r="K36" s="370">
        <f>IF('8.4'!I$4="Sem",0,'8.4'!I$4)</f>
        <v>0</v>
      </c>
      <c r="L36" s="370">
        <f>IF('8.4'!O$4="Sem",0,'8.4'!O$4)</f>
        <v>0</v>
      </c>
      <c r="M36" s="370">
        <f>IF('8.4'!U$4="Sem",0,'8.4'!U$4)</f>
        <v>0</v>
      </c>
      <c r="N36" s="286"/>
      <c r="O36" s="370">
        <f>IF('8.4'!X$4="Sem",0,'8.4'!X$4)</f>
        <v>0</v>
      </c>
      <c r="P36" s="286"/>
      <c r="Q36" s="286"/>
      <c r="R36" s="286"/>
    </row>
    <row r="37" spans="2:18" x14ac:dyDescent="0.25">
      <c r="B37" s="172" t="s">
        <v>894</v>
      </c>
      <c r="C37" s="94"/>
      <c r="D37" s="106">
        <f>IF(Capa!$B$6="B",7,IF(Capa!$B$6=1,14,IF(Capa!$B$6=2,30,IF(Capa!$B$6=3,60,""))))</f>
        <v>7</v>
      </c>
      <c r="E37" s="362">
        <f>'8.5'!B41</f>
        <v>0</v>
      </c>
      <c r="F37" s="363">
        <f t="shared" si="1"/>
        <v>0</v>
      </c>
      <c r="G37" s="364">
        <f t="shared" si="2"/>
        <v>7</v>
      </c>
      <c r="H37" s="286"/>
      <c r="I37" s="286"/>
      <c r="J37" s="286"/>
      <c r="K37" s="370">
        <f>IF('8.5'!I$4="Sem",0,'8.5'!I$4)</f>
        <v>0</v>
      </c>
      <c r="L37" s="370">
        <f>IF('8.5'!O$4="Sem",0,'8.5'!O$4)</f>
        <v>0</v>
      </c>
      <c r="M37" s="370">
        <f>IF('8.5'!U$4="Sem",0,'8.5'!U$4)</f>
        <v>0</v>
      </c>
      <c r="N37" s="286"/>
      <c r="O37" s="370">
        <f>IF('8.5'!X$4="Sem",0,'8.5'!X$4)</f>
        <v>0</v>
      </c>
      <c r="P37" s="286"/>
      <c r="Q37" s="286"/>
      <c r="R37" s="286"/>
    </row>
    <row r="38" spans="2:18" x14ac:dyDescent="0.25">
      <c r="B38" s="172" t="s">
        <v>895</v>
      </c>
      <c r="C38" s="94"/>
      <c r="D38" s="106">
        <f>IF(Capa!$B$6="B",12,IF(Capa!$B$6=1,24,IF(Capa!$B$6=2,50,IF(Capa!$B$6=3,100,""))))</f>
        <v>12</v>
      </c>
      <c r="E38" s="362">
        <f>'8.6'!B94</f>
        <v>0</v>
      </c>
      <c r="F38" s="363">
        <f t="shared" si="1"/>
        <v>0</v>
      </c>
      <c r="G38" s="364">
        <f t="shared" si="2"/>
        <v>12</v>
      </c>
      <c r="H38" s="286"/>
      <c r="I38" s="286"/>
      <c r="J38" s="286"/>
      <c r="K38" s="370">
        <f>IF('8.6'!I$4="Sem",0,'8.6'!I$4)</f>
        <v>0</v>
      </c>
      <c r="L38" s="370">
        <f>IF('8.6'!O$4="Sem",0,'8.6'!O$4)</f>
        <v>0</v>
      </c>
      <c r="M38" s="370">
        <f>IF('8.6'!U$4="Sem",0,'8.6'!U$4)</f>
        <v>0</v>
      </c>
      <c r="N38" s="286"/>
      <c r="O38" s="370">
        <f>IF('8.6'!X$4="Sem",0,'8.6'!X$4)</f>
        <v>0</v>
      </c>
      <c r="P38" s="286"/>
      <c r="Q38" s="286"/>
      <c r="R38" s="286"/>
    </row>
    <row r="39" spans="2:18" ht="30.6" customHeight="1" x14ac:dyDescent="0.25">
      <c r="B39" s="374" t="s">
        <v>896</v>
      </c>
      <c r="C39" s="374"/>
      <c r="D39" s="374">
        <f>D30+D32</f>
        <v>125</v>
      </c>
      <c r="E39" s="365">
        <f ca="1">F39/D39</f>
        <v>2.4399999999999998E-2</v>
      </c>
      <c r="F39" s="375">
        <f ca="1">F30+F32</f>
        <v>3.05</v>
      </c>
      <c r="G39" s="366">
        <f ca="1">D39-F39</f>
        <v>121.95</v>
      </c>
      <c r="H39" s="286"/>
      <c r="I39" s="286"/>
      <c r="J39" s="623" t="s">
        <v>897</v>
      </c>
      <c r="K39" s="376">
        <f>IF(ISNUMBER(AVERAGE(K33:K38)),AVERAGE(K33:K38),"")</f>
        <v>0</v>
      </c>
      <c r="L39" s="376">
        <f>IF(ISNUMBER(AVERAGE(L33:L38)),AVERAGE(L33:L38),"")</f>
        <v>0</v>
      </c>
      <c r="M39" s="376">
        <f>IF(ISNUMBER(AVERAGE(M33:M38)),AVERAGE(M33:M38),"")</f>
        <v>0</v>
      </c>
      <c r="N39" s="376"/>
      <c r="O39" s="376">
        <f>IF(ISNUMBER(AVERAGE(O33:O38)),AVERAGE(O33:O38),"")</f>
        <v>0</v>
      </c>
      <c r="P39" s="286"/>
      <c r="Q39" s="286"/>
      <c r="R39" s="286"/>
    </row>
  </sheetData>
  <sheetProtection algorithmName="SHA-512" hashValue="t4Xh3CbS8eGt297NTGzKJbngzH7Lngnw9gZgb6cnvHpM8dt7+udkJ7NJrxdhApgBAgy/UhVHQdvbTSrCDVRV+w==" saltValue="cKFrSF99hY7WXvb4GJTdng==" spinCount="100000" sheet="1" formatCells="0" formatColumns="0" formatRows="0"/>
  <mergeCells count="5">
    <mergeCell ref="T11:X11"/>
    <mergeCell ref="K1:Q2"/>
    <mergeCell ref="U3:X4"/>
    <mergeCell ref="T3:T5"/>
    <mergeCell ref="T1:X2"/>
  </mergeCells>
  <conditionalFormatting sqref="C5">
    <cfRule type="dataBar" priority="1">
      <dataBar>
        <cfvo type="num" val="0.1"/>
        <cfvo type="num" val="1"/>
        <color theme="9" tint="0.39997558519241921"/>
      </dataBar>
      <extLst>
        <ext xmlns:x14="http://schemas.microsoft.com/office/spreadsheetml/2009/9/main" uri="{B025F937-C7B1-47D3-B67F-A62EFF666E3E}">
          <x14:id>{5C01FCBA-2515-43E9-8A61-70CEC71D13CF}</x14:id>
        </ext>
      </extLst>
    </cfRule>
  </conditionalFormatting>
  <conditionalFormatting sqref="C9">
    <cfRule type="dataBar" priority="2">
      <dataBar>
        <cfvo type="num" val="0.1"/>
        <cfvo type="num" val="1"/>
        <color theme="9" tint="0.39997558519241921"/>
      </dataBar>
      <extLst>
        <ext xmlns:x14="http://schemas.microsoft.com/office/spreadsheetml/2009/9/main" uri="{B025F937-C7B1-47D3-B67F-A62EFF666E3E}">
          <x14:id>{3D14B29D-183F-444E-BCD2-560FEA6F541F}</x14:id>
        </ext>
      </extLst>
    </cfRule>
  </conditionalFormatting>
  <conditionalFormatting sqref="C13">
    <cfRule type="dataBar" priority="3">
      <dataBar>
        <cfvo type="num" val="0.1"/>
        <cfvo type="num" val="1"/>
        <color theme="9" tint="0.39997558519241921"/>
      </dataBar>
      <extLst>
        <ext xmlns:x14="http://schemas.microsoft.com/office/spreadsheetml/2009/9/main" uri="{B025F937-C7B1-47D3-B67F-A62EFF666E3E}">
          <x14:id>{D77C9D3B-7D26-4A5D-BA4C-ACC62FB114BE}</x14:id>
        </ext>
      </extLst>
    </cfRule>
  </conditionalFormatting>
  <conditionalFormatting sqref="C16">
    <cfRule type="dataBar" priority="4">
      <dataBar>
        <cfvo type="num" val="0.1"/>
        <cfvo type="num" val="1"/>
        <color theme="9" tint="0.39997558519241921"/>
      </dataBar>
      <extLst>
        <ext xmlns:x14="http://schemas.microsoft.com/office/spreadsheetml/2009/9/main" uri="{B025F937-C7B1-47D3-B67F-A62EFF666E3E}">
          <x14:id>{C71E8E83-9789-422E-9481-2F46EC249B78}</x14:id>
        </ext>
      </extLst>
    </cfRule>
  </conditionalFormatting>
  <conditionalFormatting sqref="C19">
    <cfRule type="dataBar" priority="5">
      <dataBar>
        <cfvo type="num" val="0.1"/>
        <cfvo type="num" val="1"/>
        <color theme="9" tint="0.39997558519241921"/>
      </dataBar>
      <extLst>
        <ext xmlns:x14="http://schemas.microsoft.com/office/spreadsheetml/2009/9/main" uri="{B025F937-C7B1-47D3-B67F-A62EFF666E3E}">
          <x14:id>{927C6610-C44B-4B54-BD27-922C92CBF313}</x14:id>
        </ext>
      </extLst>
    </cfRule>
  </conditionalFormatting>
  <conditionalFormatting sqref="C23">
    <cfRule type="dataBar" priority="6">
      <dataBar>
        <cfvo type="num" val="0.1"/>
        <cfvo type="num" val="1"/>
        <color theme="9" tint="0.39997558519241921"/>
      </dataBar>
      <extLst>
        <ext xmlns:x14="http://schemas.microsoft.com/office/spreadsheetml/2009/9/main" uri="{B025F937-C7B1-47D3-B67F-A62EFF666E3E}">
          <x14:id>{28188C93-31A2-411C-8B42-19889C9D39AC}</x14:id>
        </ext>
      </extLst>
    </cfRule>
  </conditionalFormatting>
  <conditionalFormatting sqref="C26">
    <cfRule type="dataBar" priority="7">
      <dataBar>
        <cfvo type="num" val="0.1"/>
        <cfvo type="num" val="1"/>
        <color theme="9" tint="0.39997558519241921"/>
      </dataBar>
      <extLst>
        <ext xmlns:x14="http://schemas.microsoft.com/office/spreadsheetml/2009/9/main" uri="{B025F937-C7B1-47D3-B67F-A62EFF666E3E}">
          <x14:id>{C93D8C25-5BB0-422E-A8C6-7A2FD1E6209B}</x14:id>
        </ext>
      </extLst>
    </cfRule>
  </conditionalFormatting>
  <pageMargins left="0.511811024" right="0.511811024" top="0.78740157499999996" bottom="0.78740157499999996" header="0.31496062000000002" footer="0.31496062000000002"/>
  <pageSetup orientation="portrait" r:id="rId1"/>
  <ignoredErrors>
    <ignoredError sqref="E39 D37" formula="1"/>
  </ignoredErrors>
  <extLst>
    <ext xmlns:x14="http://schemas.microsoft.com/office/spreadsheetml/2009/9/main" uri="{78C0D931-6437-407d-A8EE-F0AAD7539E65}">
      <x14:conditionalFormattings>
        <x14:conditionalFormatting xmlns:xm="http://schemas.microsoft.com/office/excel/2006/main">
          <x14:cfRule type="dataBar" id="{5C01FCBA-2515-43E9-8A61-70CEC71D13CF}">
            <x14:dataBar minLength="0" maxLength="100" gradient="0">
              <x14:cfvo type="num">
                <xm:f>0.1</xm:f>
              </x14:cfvo>
              <x14:cfvo type="num">
                <xm:f>1</xm:f>
              </x14:cfvo>
              <x14:negativeFillColor rgb="FFFF0000"/>
              <x14:axisColor rgb="FF000000"/>
            </x14:dataBar>
          </x14:cfRule>
          <xm:sqref>C5</xm:sqref>
        </x14:conditionalFormatting>
        <x14:conditionalFormatting xmlns:xm="http://schemas.microsoft.com/office/excel/2006/main">
          <x14:cfRule type="dataBar" id="{3D14B29D-183F-444E-BCD2-560FEA6F541F}">
            <x14:dataBar minLength="0" maxLength="100" gradient="0">
              <x14:cfvo type="num">
                <xm:f>0.1</xm:f>
              </x14:cfvo>
              <x14:cfvo type="num">
                <xm:f>1</xm:f>
              </x14:cfvo>
              <x14:negativeFillColor rgb="FFFF0000"/>
              <x14:axisColor rgb="FF000000"/>
            </x14:dataBar>
          </x14:cfRule>
          <xm:sqref>C9</xm:sqref>
        </x14:conditionalFormatting>
        <x14:conditionalFormatting xmlns:xm="http://schemas.microsoft.com/office/excel/2006/main">
          <x14:cfRule type="dataBar" id="{D77C9D3B-7D26-4A5D-BA4C-ACC62FB114BE}">
            <x14:dataBar minLength="0" maxLength="100" gradient="0">
              <x14:cfvo type="num">
                <xm:f>0.1</xm:f>
              </x14:cfvo>
              <x14:cfvo type="num">
                <xm:f>1</xm:f>
              </x14:cfvo>
              <x14:negativeFillColor rgb="FFFF0000"/>
              <x14:axisColor rgb="FF000000"/>
            </x14:dataBar>
          </x14:cfRule>
          <xm:sqref>C13</xm:sqref>
        </x14:conditionalFormatting>
        <x14:conditionalFormatting xmlns:xm="http://schemas.microsoft.com/office/excel/2006/main">
          <x14:cfRule type="dataBar" id="{C71E8E83-9789-422E-9481-2F46EC249B78}">
            <x14:dataBar minLength="0" maxLength="100" gradient="0">
              <x14:cfvo type="num">
                <xm:f>0.1</xm:f>
              </x14:cfvo>
              <x14:cfvo type="num">
                <xm:f>1</xm:f>
              </x14:cfvo>
              <x14:negativeFillColor rgb="FFFF0000"/>
              <x14:axisColor rgb="FF000000"/>
            </x14:dataBar>
          </x14:cfRule>
          <xm:sqref>C16</xm:sqref>
        </x14:conditionalFormatting>
        <x14:conditionalFormatting xmlns:xm="http://schemas.microsoft.com/office/excel/2006/main">
          <x14:cfRule type="dataBar" id="{927C6610-C44B-4B54-BD27-922C92CBF313}">
            <x14:dataBar minLength="0" maxLength="100" gradient="0">
              <x14:cfvo type="num">
                <xm:f>0.1</xm:f>
              </x14:cfvo>
              <x14:cfvo type="num">
                <xm:f>1</xm:f>
              </x14:cfvo>
              <x14:negativeFillColor rgb="FFFF0000"/>
              <x14:axisColor rgb="FF000000"/>
            </x14:dataBar>
          </x14:cfRule>
          <xm:sqref>C19</xm:sqref>
        </x14:conditionalFormatting>
        <x14:conditionalFormatting xmlns:xm="http://schemas.microsoft.com/office/excel/2006/main">
          <x14:cfRule type="dataBar" id="{28188C93-31A2-411C-8B42-19889C9D39AC}">
            <x14:dataBar minLength="0" maxLength="100" gradient="0">
              <x14:cfvo type="num">
                <xm:f>0.1</xm:f>
              </x14:cfvo>
              <x14:cfvo type="num">
                <xm:f>1</xm:f>
              </x14:cfvo>
              <x14:negativeFillColor rgb="FFFF0000"/>
              <x14:axisColor rgb="FF000000"/>
            </x14:dataBar>
          </x14:cfRule>
          <xm:sqref>C23</xm:sqref>
        </x14:conditionalFormatting>
        <x14:conditionalFormatting xmlns:xm="http://schemas.microsoft.com/office/excel/2006/main">
          <x14:cfRule type="dataBar" id="{C93D8C25-5BB0-422E-A8C6-7A2FD1E6209B}">
            <x14:dataBar minLength="0" maxLength="100" gradient="0">
              <x14:cfvo type="num">
                <xm:f>0.1</xm:f>
              </x14:cfvo>
              <x14:cfvo type="num">
                <xm:f>1</xm:f>
              </x14:cfvo>
              <x14:negativeFillColor rgb="FFFF0000"/>
              <x14:axisColor rgb="FF000000"/>
            </x14:dataBar>
          </x14:cfRule>
          <xm:sqref>C26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8198-6A99-41F7-84AB-4F172EA2B314}">
  <dimension ref="A1:A250"/>
  <sheetViews>
    <sheetView topLeftCell="A49" workbookViewId="0">
      <selection activeCell="A48" sqref="A1:XFD48"/>
    </sheetView>
  </sheetViews>
  <sheetFormatPr defaultRowHeight="15" x14ac:dyDescent="0.25"/>
  <sheetData>
    <row r="1" hidden="1" x14ac:dyDescent="0.25"/>
    <row r="2" hidden="1" x14ac:dyDescent="0.25"/>
    <row r="3" hidden="1" x14ac:dyDescent="0.25"/>
    <row r="4" hidden="1" x14ac:dyDescent="0.25"/>
    <row r="5" hidden="1" x14ac:dyDescent="0.25"/>
    <row r="6" hidden="1" x14ac:dyDescent="0.25"/>
    <row r="7" hidden="1" x14ac:dyDescent="0.25"/>
    <row r="8" hidden="1" x14ac:dyDescent="0.25"/>
    <row r="9" hidden="1" x14ac:dyDescent="0.25"/>
    <row r="10" hidden="1" x14ac:dyDescent="0.25"/>
    <row r="11" hidden="1" x14ac:dyDescent="0.25"/>
    <row r="12" hidden="1" x14ac:dyDescent="0.25"/>
    <row r="13" hidden="1" x14ac:dyDescent="0.25"/>
    <row r="14" hidden="1" x14ac:dyDescent="0.25"/>
    <row r="15" hidden="1" x14ac:dyDescent="0.25"/>
    <row r="1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1" x14ac:dyDescent="0.25">
      <c r="A49" t="s">
        <v>898</v>
      </c>
    </row>
    <row r="50" spans="1:1" x14ac:dyDescent="0.25">
      <c r="A50" t="s">
        <v>899</v>
      </c>
    </row>
    <row r="51" spans="1:1" x14ac:dyDescent="0.25">
      <c r="A51" t="s">
        <v>900</v>
      </c>
    </row>
    <row r="52" spans="1:1" x14ac:dyDescent="0.25">
      <c r="A52" t="s">
        <v>901</v>
      </c>
    </row>
    <row r="53" spans="1:1" x14ac:dyDescent="0.25">
      <c r="A53" t="s">
        <v>902</v>
      </c>
    </row>
    <row r="54" spans="1:1" x14ac:dyDescent="0.25">
      <c r="A54" t="s">
        <v>903</v>
      </c>
    </row>
    <row r="55" spans="1:1" x14ac:dyDescent="0.25">
      <c r="A55" t="s">
        <v>904</v>
      </c>
    </row>
    <row r="56" spans="1:1" x14ac:dyDescent="0.25">
      <c r="A56" t="s">
        <v>905</v>
      </c>
    </row>
    <row r="57" spans="1:1" x14ac:dyDescent="0.25">
      <c r="A57" t="s">
        <v>906</v>
      </c>
    </row>
    <row r="58" spans="1:1" x14ac:dyDescent="0.25">
      <c r="A58" t="s">
        <v>907</v>
      </c>
    </row>
    <row r="59" spans="1:1" x14ac:dyDescent="0.25">
      <c r="A59" t="s">
        <v>908</v>
      </c>
    </row>
    <row r="60" spans="1:1" x14ac:dyDescent="0.25">
      <c r="A60" t="s">
        <v>909</v>
      </c>
    </row>
    <row r="61" spans="1:1" x14ac:dyDescent="0.25">
      <c r="A61" t="s">
        <v>910</v>
      </c>
    </row>
    <row r="62" spans="1:1" x14ac:dyDescent="0.25">
      <c r="A62" t="s">
        <v>911</v>
      </c>
    </row>
    <row r="63" spans="1:1" x14ac:dyDescent="0.25">
      <c r="A63" t="s">
        <v>912</v>
      </c>
    </row>
    <row r="64" spans="1:1" x14ac:dyDescent="0.25">
      <c r="A64" t="s">
        <v>913</v>
      </c>
    </row>
    <row r="65" spans="1:1" x14ac:dyDescent="0.25">
      <c r="A65" t="s">
        <v>914</v>
      </c>
    </row>
    <row r="66" spans="1:1" x14ac:dyDescent="0.25">
      <c r="A66" t="s">
        <v>915</v>
      </c>
    </row>
    <row r="67" spans="1:1" x14ac:dyDescent="0.25">
      <c r="A67" t="s">
        <v>916</v>
      </c>
    </row>
    <row r="68" spans="1:1" x14ac:dyDescent="0.25">
      <c r="A68" t="s">
        <v>917</v>
      </c>
    </row>
    <row r="69" spans="1:1" x14ac:dyDescent="0.25">
      <c r="A69" t="s">
        <v>918</v>
      </c>
    </row>
    <row r="70" spans="1:1" x14ac:dyDescent="0.25">
      <c r="A70" t="s">
        <v>919</v>
      </c>
    </row>
    <row r="71" spans="1:1" x14ac:dyDescent="0.25">
      <c r="A71" t="s">
        <v>920</v>
      </c>
    </row>
    <row r="72" spans="1:1" x14ac:dyDescent="0.25">
      <c r="A72" t="s">
        <v>921</v>
      </c>
    </row>
    <row r="73" spans="1:1" x14ac:dyDescent="0.25">
      <c r="A73" t="s">
        <v>922</v>
      </c>
    </row>
    <row r="74" spans="1:1" x14ac:dyDescent="0.25">
      <c r="A74" t="s">
        <v>923</v>
      </c>
    </row>
    <row r="75" spans="1:1" x14ac:dyDescent="0.25">
      <c r="A75" t="s">
        <v>924</v>
      </c>
    </row>
    <row r="76" spans="1:1" x14ac:dyDescent="0.25">
      <c r="A76" t="s">
        <v>925</v>
      </c>
    </row>
    <row r="77" spans="1:1" x14ac:dyDescent="0.25">
      <c r="A77" t="s">
        <v>926</v>
      </c>
    </row>
    <row r="78" spans="1:1" x14ac:dyDescent="0.25">
      <c r="A78" t="s">
        <v>927</v>
      </c>
    </row>
    <row r="79" spans="1:1" x14ac:dyDescent="0.25">
      <c r="A79" t="s">
        <v>928</v>
      </c>
    </row>
    <row r="80" spans="1:1" x14ac:dyDescent="0.25">
      <c r="A80" t="s">
        <v>929</v>
      </c>
    </row>
    <row r="81" spans="1:1" x14ac:dyDescent="0.25">
      <c r="A81" t="s">
        <v>930</v>
      </c>
    </row>
    <row r="82" spans="1:1" x14ac:dyDescent="0.25">
      <c r="A82" t="s">
        <v>931</v>
      </c>
    </row>
    <row r="83" spans="1:1" x14ac:dyDescent="0.25">
      <c r="A83" t="s">
        <v>932</v>
      </c>
    </row>
    <row r="84" spans="1:1" x14ac:dyDescent="0.25">
      <c r="A84" t="s">
        <v>933</v>
      </c>
    </row>
    <row r="85" spans="1:1" x14ac:dyDescent="0.25">
      <c r="A85" t="s">
        <v>934</v>
      </c>
    </row>
    <row r="86" spans="1:1" x14ac:dyDescent="0.25">
      <c r="A86" t="s">
        <v>935</v>
      </c>
    </row>
    <row r="87" spans="1:1" x14ac:dyDescent="0.25">
      <c r="A87" t="s">
        <v>936</v>
      </c>
    </row>
    <row r="88" spans="1:1" x14ac:dyDescent="0.25">
      <c r="A88" t="s">
        <v>937</v>
      </c>
    </row>
    <row r="89" spans="1:1" x14ac:dyDescent="0.25">
      <c r="A89" t="s">
        <v>938</v>
      </c>
    </row>
    <row r="90" spans="1:1" x14ac:dyDescent="0.25">
      <c r="A90" t="s">
        <v>939</v>
      </c>
    </row>
    <row r="91" spans="1:1" x14ac:dyDescent="0.25">
      <c r="A91" t="s">
        <v>940</v>
      </c>
    </row>
    <row r="92" spans="1:1" x14ac:dyDescent="0.25">
      <c r="A92" t="s">
        <v>941</v>
      </c>
    </row>
    <row r="93" spans="1:1" x14ac:dyDescent="0.25">
      <c r="A93" t="s">
        <v>942</v>
      </c>
    </row>
    <row r="94" spans="1:1" x14ac:dyDescent="0.25">
      <c r="A94" t="s">
        <v>943</v>
      </c>
    </row>
    <row r="95" spans="1:1" x14ac:dyDescent="0.25">
      <c r="A95" t="s">
        <v>944</v>
      </c>
    </row>
    <row r="96" spans="1:1" x14ac:dyDescent="0.25">
      <c r="A96" t="s">
        <v>945</v>
      </c>
    </row>
    <row r="97" spans="1:1" x14ac:dyDescent="0.25">
      <c r="A97" t="s">
        <v>946</v>
      </c>
    </row>
    <row r="98" spans="1:1" x14ac:dyDescent="0.25">
      <c r="A98" t="s">
        <v>947</v>
      </c>
    </row>
    <row r="99" spans="1:1" x14ac:dyDescent="0.25">
      <c r="A99" t="s">
        <v>948</v>
      </c>
    </row>
    <row r="100" spans="1:1" x14ac:dyDescent="0.25">
      <c r="A100" t="s">
        <v>949</v>
      </c>
    </row>
    <row r="101" spans="1:1" x14ac:dyDescent="0.25">
      <c r="A101" t="s">
        <v>950</v>
      </c>
    </row>
    <row r="102" spans="1:1" x14ac:dyDescent="0.25">
      <c r="A102" t="s">
        <v>951</v>
      </c>
    </row>
    <row r="103" spans="1:1" x14ac:dyDescent="0.25">
      <c r="A103" t="s">
        <v>952</v>
      </c>
    </row>
    <row r="104" spans="1:1" x14ac:dyDescent="0.25">
      <c r="A104" t="s">
        <v>953</v>
      </c>
    </row>
    <row r="105" spans="1:1" x14ac:dyDescent="0.25">
      <c r="A105" t="s">
        <v>954</v>
      </c>
    </row>
    <row r="106" spans="1:1" x14ac:dyDescent="0.25">
      <c r="A106" t="s">
        <v>955</v>
      </c>
    </row>
    <row r="107" spans="1:1" x14ac:dyDescent="0.25">
      <c r="A107" t="s">
        <v>956</v>
      </c>
    </row>
    <row r="108" spans="1:1" x14ac:dyDescent="0.25">
      <c r="A108" t="s">
        <v>957</v>
      </c>
    </row>
    <row r="109" spans="1:1" x14ac:dyDescent="0.25">
      <c r="A109" t="s">
        <v>958</v>
      </c>
    </row>
    <row r="110" spans="1:1" x14ac:dyDescent="0.25">
      <c r="A110" t="s">
        <v>959</v>
      </c>
    </row>
    <row r="111" spans="1:1" x14ac:dyDescent="0.25">
      <c r="A111" t="s">
        <v>960</v>
      </c>
    </row>
    <row r="112" spans="1:1" x14ac:dyDescent="0.25">
      <c r="A112" t="s">
        <v>961</v>
      </c>
    </row>
    <row r="113" spans="1:1" x14ac:dyDescent="0.25">
      <c r="A113" t="s">
        <v>962</v>
      </c>
    </row>
    <row r="114" spans="1:1" x14ac:dyDescent="0.25">
      <c r="A114" t="s">
        <v>963</v>
      </c>
    </row>
    <row r="115" spans="1:1" x14ac:dyDescent="0.25">
      <c r="A115" t="s">
        <v>964</v>
      </c>
    </row>
    <row r="116" spans="1:1" x14ac:dyDescent="0.25">
      <c r="A116" t="s">
        <v>965</v>
      </c>
    </row>
    <row r="117" spans="1:1" x14ac:dyDescent="0.25">
      <c r="A117" t="s">
        <v>966</v>
      </c>
    </row>
    <row r="118" spans="1:1" x14ac:dyDescent="0.25">
      <c r="A118" t="s">
        <v>967</v>
      </c>
    </row>
    <row r="119" spans="1:1" x14ac:dyDescent="0.25">
      <c r="A119" t="s">
        <v>968</v>
      </c>
    </row>
    <row r="120" spans="1:1" x14ac:dyDescent="0.25">
      <c r="A120" t="s">
        <v>969</v>
      </c>
    </row>
    <row r="121" spans="1:1" x14ac:dyDescent="0.25">
      <c r="A121" t="s">
        <v>970</v>
      </c>
    </row>
    <row r="122" spans="1:1" x14ac:dyDescent="0.25">
      <c r="A122" t="s">
        <v>971</v>
      </c>
    </row>
    <row r="123" spans="1:1" x14ac:dyDescent="0.25">
      <c r="A123" t="s">
        <v>972</v>
      </c>
    </row>
    <row r="124" spans="1:1" x14ac:dyDescent="0.25">
      <c r="A124" t="s">
        <v>973</v>
      </c>
    </row>
    <row r="125" spans="1:1" x14ac:dyDescent="0.25">
      <c r="A125" t="s">
        <v>974</v>
      </c>
    </row>
    <row r="126" spans="1:1" x14ac:dyDescent="0.25">
      <c r="A126" t="s">
        <v>975</v>
      </c>
    </row>
    <row r="127" spans="1:1" x14ac:dyDescent="0.25">
      <c r="A127" t="s">
        <v>976</v>
      </c>
    </row>
    <row r="128" spans="1:1" x14ac:dyDescent="0.25">
      <c r="A128" t="s">
        <v>977</v>
      </c>
    </row>
    <row r="129" spans="1:1" x14ac:dyDescent="0.25">
      <c r="A129" t="s">
        <v>978</v>
      </c>
    </row>
    <row r="130" spans="1:1" x14ac:dyDescent="0.25">
      <c r="A130" t="s">
        <v>979</v>
      </c>
    </row>
    <row r="131" spans="1:1" x14ac:dyDescent="0.25">
      <c r="A131" t="s">
        <v>980</v>
      </c>
    </row>
    <row r="132" spans="1:1" x14ac:dyDescent="0.25">
      <c r="A132" t="s">
        <v>981</v>
      </c>
    </row>
    <row r="133" spans="1:1" x14ac:dyDescent="0.25">
      <c r="A133" t="s">
        <v>982</v>
      </c>
    </row>
    <row r="134" spans="1:1" x14ac:dyDescent="0.25">
      <c r="A134" t="s">
        <v>983</v>
      </c>
    </row>
    <row r="135" spans="1:1" x14ac:dyDescent="0.25">
      <c r="A135" t="s">
        <v>984</v>
      </c>
    </row>
    <row r="136" spans="1:1" x14ac:dyDescent="0.25">
      <c r="A136" t="s">
        <v>985</v>
      </c>
    </row>
    <row r="137" spans="1:1" x14ac:dyDescent="0.25">
      <c r="A137" t="s">
        <v>986</v>
      </c>
    </row>
    <row r="139" spans="1:1" x14ac:dyDescent="0.25">
      <c r="A139" t="s">
        <v>987</v>
      </c>
    </row>
    <row r="140" spans="1:1" x14ac:dyDescent="0.25">
      <c r="A140" t="s">
        <v>988</v>
      </c>
    </row>
    <row r="141" spans="1:1" x14ac:dyDescent="0.25">
      <c r="A141" t="s">
        <v>989</v>
      </c>
    </row>
    <row r="142" spans="1:1" x14ac:dyDescent="0.25">
      <c r="A142" t="s">
        <v>990</v>
      </c>
    </row>
    <row r="143" spans="1:1" x14ac:dyDescent="0.25">
      <c r="A143" t="s">
        <v>991</v>
      </c>
    </row>
    <row r="144" spans="1:1" x14ac:dyDescent="0.25">
      <c r="A144" t="s">
        <v>992</v>
      </c>
    </row>
    <row r="145" spans="1:1" x14ac:dyDescent="0.25">
      <c r="A145" t="s">
        <v>993</v>
      </c>
    </row>
    <row r="146" spans="1:1" x14ac:dyDescent="0.25">
      <c r="A146" t="s">
        <v>994</v>
      </c>
    </row>
    <row r="147" spans="1:1" x14ac:dyDescent="0.25">
      <c r="A147" t="s">
        <v>995</v>
      </c>
    </row>
    <row r="148" spans="1:1" x14ac:dyDescent="0.25">
      <c r="A148" t="s">
        <v>996</v>
      </c>
    </row>
    <row r="149" spans="1:1" x14ac:dyDescent="0.25">
      <c r="A149" t="s">
        <v>997</v>
      </c>
    </row>
    <row r="150" spans="1:1" x14ac:dyDescent="0.25">
      <c r="A150" t="s">
        <v>998</v>
      </c>
    </row>
    <row r="151" spans="1:1" x14ac:dyDescent="0.25">
      <c r="A151" t="s">
        <v>999</v>
      </c>
    </row>
    <row r="152" spans="1:1" x14ac:dyDescent="0.25">
      <c r="A152" t="s">
        <v>1000</v>
      </c>
    </row>
    <row r="153" spans="1:1" x14ac:dyDescent="0.25">
      <c r="A153" t="s">
        <v>1001</v>
      </c>
    </row>
    <row r="154" spans="1:1" x14ac:dyDescent="0.25">
      <c r="A154" t="s">
        <v>1002</v>
      </c>
    </row>
    <row r="155" spans="1:1" x14ac:dyDescent="0.25">
      <c r="A155" t="s">
        <v>1003</v>
      </c>
    </row>
    <row r="156" spans="1:1" x14ac:dyDescent="0.25">
      <c r="A156" t="s">
        <v>1004</v>
      </c>
    </row>
    <row r="157" spans="1:1" x14ac:dyDescent="0.25">
      <c r="A157" t="s">
        <v>1005</v>
      </c>
    </row>
    <row r="158" spans="1:1" x14ac:dyDescent="0.25">
      <c r="A158" t="s">
        <v>1006</v>
      </c>
    </row>
    <row r="159" spans="1:1" x14ac:dyDescent="0.25">
      <c r="A159" t="s">
        <v>1007</v>
      </c>
    </row>
    <row r="160" spans="1:1" x14ac:dyDescent="0.25">
      <c r="A160" t="s">
        <v>1008</v>
      </c>
    </row>
    <row r="161" spans="1:1" x14ac:dyDescent="0.25">
      <c r="A161" t="s">
        <v>1009</v>
      </c>
    </row>
    <row r="162" spans="1:1" x14ac:dyDescent="0.25">
      <c r="A162" t="s">
        <v>1010</v>
      </c>
    </row>
    <row r="163" spans="1:1" x14ac:dyDescent="0.25">
      <c r="A163" t="s">
        <v>1011</v>
      </c>
    </row>
    <row r="164" spans="1:1" x14ac:dyDescent="0.25">
      <c r="A164" t="s">
        <v>1012</v>
      </c>
    </row>
    <row r="165" spans="1:1" x14ac:dyDescent="0.25">
      <c r="A165" t="s">
        <v>1013</v>
      </c>
    </row>
    <row r="166" spans="1:1" x14ac:dyDescent="0.25">
      <c r="A166" t="s">
        <v>1014</v>
      </c>
    </row>
    <row r="167" spans="1:1" x14ac:dyDescent="0.25">
      <c r="A167" t="s">
        <v>1015</v>
      </c>
    </row>
    <row r="168" spans="1:1" x14ac:dyDescent="0.25">
      <c r="A168" t="s">
        <v>1016</v>
      </c>
    </row>
    <row r="169" spans="1:1" x14ac:dyDescent="0.25">
      <c r="A169" t="s">
        <v>1017</v>
      </c>
    </row>
    <row r="170" spans="1:1" x14ac:dyDescent="0.25">
      <c r="A170" t="s">
        <v>1018</v>
      </c>
    </row>
    <row r="171" spans="1:1" x14ac:dyDescent="0.25">
      <c r="A171" t="s">
        <v>1019</v>
      </c>
    </row>
    <row r="172" spans="1:1" x14ac:dyDescent="0.25">
      <c r="A172" t="s">
        <v>1020</v>
      </c>
    </row>
    <row r="173" spans="1:1" x14ac:dyDescent="0.25">
      <c r="A173" t="s">
        <v>1021</v>
      </c>
    </row>
    <row r="174" spans="1:1" x14ac:dyDescent="0.25">
      <c r="A174" t="s">
        <v>1022</v>
      </c>
    </row>
    <row r="175" spans="1:1" x14ac:dyDescent="0.25">
      <c r="A175" t="s">
        <v>1023</v>
      </c>
    </row>
    <row r="176" spans="1:1" x14ac:dyDescent="0.25">
      <c r="A176" t="s">
        <v>1024</v>
      </c>
    </row>
    <row r="177" spans="1:1" x14ac:dyDescent="0.25">
      <c r="A177" t="s">
        <v>1025</v>
      </c>
    </row>
    <row r="178" spans="1:1" x14ac:dyDescent="0.25">
      <c r="A178" t="s">
        <v>1026</v>
      </c>
    </row>
    <row r="179" spans="1:1" x14ac:dyDescent="0.25">
      <c r="A179" t="s">
        <v>1027</v>
      </c>
    </row>
    <row r="180" spans="1:1" x14ac:dyDescent="0.25">
      <c r="A180" t="s">
        <v>1028</v>
      </c>
    </row>
    <row r="181" spans="1:1" x14ac:dyDescent="0.25">
      <c r="A181" t="s">
        <v>1029</v>
      </c>
    </row>
    <row r="182" spans="1:1" x14ac:dyDescent="0.25">
      <c r="A182" t="s">
        <v>1030</v>
      </c>
    </row>
    <row r="183" spans="1:1" x14ac:dyDescent="0.25">
      <c r="A183" t="s">
        <v>1031</v>
      </c>
    </row>
    <row r="184" spans="1:1" x14ac:dyDescent="0.25">
      <c r="A184" t="s">
        <v>1032</v>
      </c>
    </row>
    <row r="185" spans="1:1" x14ac:dyDescent="0.25">
      <c r="A185" t="s">
        <v>1033</v>
      </c>
    </row>
    <row r="186" spans="1:1" x14ac:dyDescent="0.25">
      <c r="A186" t="s">
        <v>1034</v>
      </c>
    </row>
    <row r="187" spans="1:1" x14ac:dyDescent="0.25">
      <c r="A187" t="s">
        <v>1035</v>
      </c>
    </row>
    <row r="188" spans="1:1" x14ac:dyDescent="0.25">
      <c r="A188" t="s">
        <v>1036</v>
      </c>
    </row>
    <row r="189" spans="1:1" x14ac:dyDescent="0.25">
      <c r="A189" t="s">
        <v>1037</v>
      </c>
    </row>
    <row r="190" spans="1:1" x14ac:dyDescent="0.25">
      <c r="A190" t="s">
        <v>1038</v>
      </c>
    </row>
    <row r="191" spans="1:1" x14ac:dyDescent="0.25">
      <c r="A191" t="s">
        <v>1039</v>
      </c>
    </row>
    <row r="192" spans="1:1" x14ac:dyDescent="0.25">
      <c r="A192" t="s">
        <v>1040</v>
      </c>
    </row>
    <row r="193" spans="1:1" x14ac:dyDescent="0.25">
      <c r="A193" t="s">
        <v>1041</v>
      </c>
    </row>
    <row r="194" spans="1:1" x14ac:dyDescent="0.25">
      <c r="A194" t="s">
        <v>1042</v>
      </c>
    </row>
    <row r="195" spans="1:1" x14ac:dyDescent="0.25">
      <c r="A195" t="s">
        <v>1043</v>
      </c>
    </row>
    <row r="196" spans="1:1" x14ac:dyDescent="0.25">
      <c r="A196" t="s">
        <v>1044</v>
      </c>
    </row>
    <row r="197" spans="1:1" x14ac:dyDescent="0.25">
      <c r="A197" t="s">
        <v>1045</v>
      </c>
    </row>
    <row r="198" spans="1:1" x14ac:dyDescent="0.25">
      <c r="A198" t="s">
        <v>1046</v>
      </c>
    </row>
    <row r="199" spans="1:1" x14ac:dyDescent="0.25">
      <c r="A199" t="s">
        <v>1047</v>
      </c>
    </row>
    <row r="200" spans="1:1" x14ac:dyDescent="0.25">
      <c r="A200" t="s">
        <v>1048</v>
      </c>
    </row>
    <row r="201" spans="1:1" x14ac:dyDescent="0.25">
      <c r="A201" t="s">
        <v>1049</v>
      </c>
    </row>
    <row r="202" spans="1:1" x14ac:dyDescent="0.25">
      <c r="A202" t="s">
        <v>1050</v>
      </c>
    </row>
    <row r="203" spans="1:1" x14ac:dyDescent="0.25">
      <c r="A203" t="s">
        <v>1051</v>
      </c>
    </row>
    <row r="204" spans="1:1" x14ac:dyDescent="0.25">
      <c r="A204" t="s">
        <v>1052</v>
      </c>
    </row>
    <row r="205" spans="1:1" x14ac:dyDescent="0.25">
      <c r="A205" t="s">
        <v>1053</v>
      </c>
    </row>
    <row r="206" spans="1:1" x14ac:dyDescent="0.25">
      <c r="A206" t="s">
        <v>1054</v>
      </c>
    </row>
    <row r="207" spans="1:1" x14ac:dyDescent="0.25">
      <c r="A207" t="s">
        <v>1055</v>
      </c>
    </row>
    <row r="208" spans="1:1" x14ac:dyDescent="0.25">
      <c r="A208" t="s">
        <v>1056</v>
      </c>
    </row>
    <row r="209" spans="1:1" x14ac:dyDescent="0.25">
      <c r="A209" t="s">
        <v>1057</v>
      </c>
    </row>
    <row r="210" spans="1:1" x14ac:dyDescent="0.25">
      <c r="A210" t="s">
        <v>1058</v>
      </c>
    </row>
    <row r="211" spans="1:1" x14ac:dyDescent="0.25">
      <c r="A211" t="s">
        <v>1059</v>
      </c>
    </row>
    <row r="212" spans="1:1" x14ac:dyDescent="0.25">
      <c r="A212" t="s">
        <v>1060</v>
      </c>
    </row>
    <row r="213" spans="1:1" x14ac:dyDescent="0.25">
      <c r="A213" t="s">
        <v>1061</v>
      </c>
    </row>
    <row r="214" spans="1:1" x14ac:dyDescent="0.25">
      <c r="A214" t="s">
        <v>1062</v>
      </c>
    </row>
    <row r="215" spans="1:1" x14ac:dyDescent="0.25">
      <c r="A215" t="s">
        <v>1063</v>
      </c>
    </row>
    <row r="216" spans="1:1" x14ac:dyDescent="0.25">
      <c r="A216" t="s">
        <v>1064</v>
      </c>
    </row>
    <row r="217" spans="1:1" x14ac:dyDescent="0.25">
      <c r="A217" t="s">
        <v>1065</v>
      </c>
    </row>
    <row r="218" spans="1:1" x14ac:dyDescent="0.25">
      <c r="A218" t="s">
        <v>1066</v>
      </c>
    </row>
    <row r="219" spans="1:1" x14ac:dyDescent="0.25">
      <c r="A219" t="s">
        <v>1067</v>
      </c>
    </row>
    <row r="220" spans="1:1" x14ac:dyDescent="0.25">
      <c r="A220" t="s">
        <v>1068</v>
      </c>
    </row>
    <row r="221" spans="1:1" x14ac:dyDescent="0.25">
      <c r="A221" t="s">
        <v>1069</v>
      </c>
    </row>
    <row r="222" spans="1:1" x14ac:dyDescent="0.25">
      <c r="A222" t="s">
        <v>1070</v>
      </c>
    </row>
    <row r="223" spans="1:1" x14ac:dyDescent="0.25">
      <c r="A223" t="s">
        <v>1071</v>
      </c>
    </row>
    <row r="224" spans="1:1" x14ac:dyDescent="0.25">
      <c r="A224" t="s">
        <v>1072</v>
      </c>
    </row>
    <row r="225" spans="1:1" x14ac:dyDescent="0.25">
      <c r="A225" t="s">
        <v>1073</v>
      </c>
    </row>
    <row r="226" spans="1:1" x14ac:dyDescent="0.25">
      <c r="A226" t="s">
        <v>1074</v>
      </c>
    </row>
    <row r="227" spans="1:1" x14ac:dyDescent="0.25">
      <c r="A227" t="s">
        <v>1075</v>
      </c>
    </row>
    <row r="228" spans="1:1" x14ac:dyDescent="0.25">
      <c r="A228" t="s">
        <v>1076</v>
      </c>
    </row>
    <row r="229" spans="1:1" x14ac:dyDescent="0.25">
      <c r="A229" t="s">
        <v>1077</v>
      </c>
    </row>
    <row r="230" spans="1:1" x14ac:dyDescent="0.25">
      <c r="A230" t="s">
        <v>1078</v>
      </c>
    </row>
    <row r="231" spans="1:1" x14ac:dyDescent="0.25">
      <c r="A231" t="s">
        <v>1079</v>
      </c>
    </row>
    <row r="232" spans="1:1" x14ac:dyDescent="0.25">
      <c r="A232" t="s">
        <v>1080</v>
      </c>
    </row>
    <row r="233" spans="1:1" x14ac:dyDescent="0.25">
      <c r="A233" t="s">
        <v>1081</v>
      </c>
    </row>
    <row r="234" spans="1:1" x14ac:dyDescent="0.25">
      <c r="A234" t="s">
        <v>1082</v>
      </c>
    </row>
    <row r="235" spans="1:1" x14ac:dyDescent="0.25">
      <c r="A235" t="s">
        <v>1083</v>
      </c>
    </row>
    <row r="236" spans="1:1" x14ac:dyDescent="0.25">
      <c r="A236" t="s">
        <v>1084</v>
      </c>
    </row>
    <row r="237" spans="1:1" x14ac:dyDescent="0.25">
      <c r="A237" t="s">
        <v>1085</v>
      </c>
    </row>
    <row r="238" spans="1:1" x14ac:dyDescent="0.25">
      <c r="A238" t="s">
        <v>1086</v>
      </c>
    </row>
    <row r="239" spans="1:1" x14ac:dyDescent="0.25">
      <c r="A239" t="s">
        <v>1087</v>
      </c>
    </row>
    <row r="240" spans="1:1" x14ac:dyDescent="0.25">
      <c r="A240" t="s">
        <v>1088</v>
      </c>
    </row>
    <row r="241" spans="1:1" x14ac:dyDescent="0.25">
      <c r="A241" t="s">
        <v>1089</v>
      </c>
    </row>
    <row r="242" spans="1:1" x14ac:dyDescent="0.25">
      <c r="A242" t="s">
        <v>1090</v>
      </c>
    </row>
    <row r="243" spans="1:1" x14ac:dyDescent="0.25">
      <c r="A243" t="s">
        <v>1091</v>
      </c>
    </row>
    <row r="244" spans="1:1" x14ac:dyDescent="0.25">
      <c r="A244" t="s">
        <v>1092</v>
      </c>
    </row>
    <row r="245" spans="1:1" x14ac:dyDescent="0.25">
      <c r="A245" t="s">
        <v>1093</v>
      </c>
    </row>
    <row r="246" spans="1:1" x14ac:dyDescent="0.25">
      <c r="A246" t="s">
        <v>1094</v>
      </c>
    </row>
    <row r="247" spans="1:1" x14ac:dyDescent="0.25">
      <c r="A247" t="s">
        <v>1095</v>
      </c>
    </row>
    <row r="248" spans="1:1" x14ac:dyDescent="0.25">
      <c r="A248" t="s">
        <v>1096</v>
      </c>
    </row>
    <row r="249" spans="1:1" x14ac:dyDescent="0.25">
      <c r="A249" t="s">
        <v>1097</v>
      </c>
    </row>
    <row r="250" spans="1:1" x14ac:dyDescent="0.25">
      <c r="A250" t="s">
        <v>1098</v>
      </c>
    </row>
  </sheetData>
  <sheetProtection algorithmName="SHA-512" hashValue="XaaD3P3WidDn+9a+llYFC7bPN9+GmwLbsJhz7TBWCuxh9TivkcGxw8p3ga+xFg7AGnXkOf74NX00k3fcN7DdPQ==" saltValue="aydxpfsj4/5p75XmkxveJA==" spinCount="100000" sheet="1" objects="1" scenarios="1"/>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7D94-24CF-4012-B4FA-7A2CE77DF6D2}">
  <dimension ref="A1:B73"/>
  <sheetViews>
    <sheetView workbookViewId="0">
      <selection activeCell="B78" sqref="B78"/>
    </sheetView>
  </sheetViews>
  <sheetFormatPr defaultColWidth="8.85546875" defaultRowHeight="15" x14ac:dyDescent="0.25"/>
  <cols>
    <col min="1" max="1" width="38.140625" style="665" customWidth="1"/>
    <col min="2" max="2" width="107.28515625" style="655" customWidth="1"/>
    <col min="3" max="16384" width="8.85546875" style="653"/>
  </cols>
  <sheetData>
    <row r="1" spans="1:2" ht="30" x14ac:dyDescent="0.25">
      <c r="A1" s="765" t="s">
        <v>1099</v>
      </c>
      <c r="B1" s="765"/>
    </row>
    <row r="2" spans="1:2" ht="36.6" customHeight="1" x14ac:dyDescent="0.25">
      <c r="A2" s="766" t="s">
        <v>1100</v>
      </c>
      <c r="B2" s="766"/>
    </row>
    <row r="3" spans="1:2" x14ac:dyDescent="0.25">
      <c r="A3" s="654"/>
    </row>
    <row r="4" spans="1:2" ht="30.6" customHeight="1" x14ac:dyDescent="0.25">
      <c r="A4" s="656" t="s">
        <v>1101</v>
      </c>
      <c r="B4" s="657" t="s">
        <v>1102</v>
      </c>
    </row>
    <row r="5" spans="1:2" ht="28.35" customHeight="1" x14ac:dyDescent="0.25">
      <c r="A5" s="656" t="s">
        <v>1103</v>
      </c>
      <c r="B5" s="657" t="s">
        <v>1104</v>
      </c>
    </row>
    <row r="6" spans="1:2" ht="49.35" customHeight="1" x14ac:dyDescent="0.25">
      <c r="A6" s="656" t="s">
        <v>1105</v>
      </c>
      <c r="B6" s="658" t="s">
        <v>1106</v>
      </c>
    </row>
    <row r="7" spans="1:2" ht="72" customHeight="1" x14ac:dyDescent="0.25">
      <c r="A7" s="656" t="s">
        <v>1107</v>
      </c>
      <c r="B7" s="657" t="s">
        <v>1108</v>
      </c>
    </row>
    <row r="8" spans="1:2" ht="37.35" customHeight="1" x14ac:dyDescent="0.25">
      <c r="A8" s="656" t="s">
        <v>1109</v>
      </c>
      <c r="B8" s="658" t="s">
        <v>1110</v>
      </c>
    </row>
    <row r="9" spans="1:2" ht="25.7" customHeight="1" x14ac:dyDescent="0.25">
      <c r="A9" s="656" t="s">
        <v>1111</v>
      </c>
      <c r="B9" s="659" t="s">
        <v>1112</v>
      </c>
    </row>
    <row r="10" spans="1:2" ht="24" customHeight="1" x14ac:dyDescent="0.25">
      <c r="A10" s="656" t="s">
        <v>1113</v>
      </c>
      <c r="B10" s="660" t="s">
        <v>1114</v>
      </c>
    </row>
    <row r="11" spans="1:2" ht="23.45" customHeight="1" x14ac:dyDescent="0.25">
      <c r="A11" s="656" t="s">
        <v>1115</v>
      </c>
      <c r="B11" s="657" t="s">
        <v>1116</v>
      </c>
    </row>
    <row r="12" spans="1:2" ht="27.6" customHeight="1" x14ac:dyDescent="0.25">
      <c r="A12" s="656" t="s">
        <v>1117</v>
      </c>
      <c r="B12" s="657" t="s">
        <v>1118</v>
      </c>
    </row>
    <row r="13" spans="1:2" ht="37.35" customHeight="1" x14ac:dyDescent="0.25">
      <c r="A13" s="656" t="s">
        <v>1119</v>
      </c>
      <c r="B13" s="661" t="s">
        <v>1120</v>
      </c>
    </row>
    <row r="14" spans="1:2" ht="36.6" customHeight="1" x14ac:dyDescent="0.25">
      <c r="A14" s="656" t="s">
        <v>1121</v>
      </c>
      <c r="B14" s="657" t="s">
        <v>1122</v>
      </c>
    </row>
    <row r="15" spans="1:2" ht="36" x14ac:dyDescent="0.25">
      <c r="A15" s="656" t="s">
        <v>1123</v>
      </c>
      <c r="B15" s="657" t="s">
        <v>1124</v>
      </c>
    </row>
    <row r="16" spans="1:2" ht="24" x14ac:dyDescent="0.25">
      <c r="A16" s="656" t="s">
        <v>1125</v>
      </c>
      <c r="B16" s="657" t="s">
        <v>1126</v>
      </c>
    </row>
    <row r="17" spans="1:2" ht="36.6" customHeight="1" x14ac:dyDescent="0.25">
      <c r="A17" s="656" t="s">
        <v>1127</v>
      </c>
      <c r="B17" s="657" t="s">
        <v>1128</v>
      </c>
    </row>
    <row r="18" spans="1:2" ht="26.45" customHeight="1" x14ac:dyDescent="0.25">
      <c r="A18" s="656" t="s">
        <v>1129</v>
      </c>
      <c r="B18" s="657" t="s">
        <v>1130</v>
      </c>
    </row>
    <row r="19" spans="1:2" ht="27" customHeight="1" x14ac:dyDescent="0.25">
      <c r="A19" s="656" t="s">
        <v>1131</v>
      </c>
      <c r="B19" s="657" t="s">
        <v>1132</v>
      </c>
    </row>
    <row r="20" spans="1:2" ht="26.45" customHeight="1" x14ac:dyDescent="0.25">
      <c r="A20" s="656" t="s">
        <v>1133</v>
      </c>
      <c r="B20" s="657" t="s">
        <v>1134</v>
      </c>
    </row>
    <row r="21" spans="1:2" ht="27" customHeight="1" x14ac:dyDescent="0.25">
      <c r="A21" s="656" t="s">
        <v>1135</v>
      </c>
      <c r="B21" s="657" t="s">
        <v>1136</v>
      </c>
    </row>
    <row r="22" spans="1:2" ht="25.35" customHeight="1" x14ac:dyDescent="0.25">
      <c r="A22" s="656" t="s">
        <v>1137</v>
      </c>
      <c r="B22" s="657" t="s">
        <v>1138</v>
      </c>
    </row>
    <row r="23" spans="1:2" ht="51" customHeight="1" x14ac:dyDescent="0.25">
      <c r="A23" s="656" t="s">
        <v>1139</v>
      </c>
      <c r="B23" s="657" t="s">
        <v>1140</v>
      </c>
    </row>
    <row r="24" spans="1:2" ht="26.45" customHeight="1" x14ac:dyDescent="0.25">
      <c r="A24" s="656" t="s">
        <v>1141</v>
      </c>
      <c r="B24" s="657" t="s">
        <v>1142</v>
      </c>
    </row>
    <row r="25" spans="1:2" ht="84" customHeight="1" x14ac:dyDescent="0.25">
      <c r="A25" s="656" t="s">
        <v>1143</v>
      </c>
      <c r="B25" s="657" t="s">
        <v>1144</v>
      </c>
    </row>
    <row r="26" spans="1:2" ht="27" customHeight="1" x14ac:dyDescent="0.25">
      <c r="A26" s="656" t="s">
        <v>1145</v>
      </c>
      <c r="B26" s="657" t="s">
        <v>1146</v>
      </c>
    </row>
    <row r="27" spans="1:2" ht="37.700000000000003" customHeight="1" x14ac:dyDescent="0.25">
      <c r="A27" s="656" t="s">
        <v>1147</v>
      </c>
      <c r="B27" s="657" t="s">
        <v>1148</v>
      </c>
    </row>
    <row r="28" spans="1:2" ht="24.6" customHeight="1" x14ac:dyDescent="0.25">
      <c r="A28" s="656" t="s">
        <v>1149</v>
      </c>
      <c r="B28" s="657" t="s">
        <v>1150</v>
      </c>
    </row>
    <row r="29" spans="1:2" ht="36" x14ac:dyDescent="0.25">
      <c r="A29" s="656" t="s">
        <v>1151</v>
      </c>
      <c r="B29" s="662" t="s">
        <v>1152</v>
      </c>
    </row>
    <row r="30" spans="1:2" ht="39" customHeight="1" x14ac:dyDescent="0.25">
      <c r="A30" s="656" t="s">
        <v>1153</v>
      </c>
      <c r="B30" s="657" t="s">
        <v>1154</v>
      </c>
    </row>
    <row r="31" spans="1:2" ht="50.45" customHeight="1" x14ac:dyDescent="0.25">
      <c r="A31" s="656" t="s">
        <v>1155</v>
      </c>
      <c r="B31" s="657" t="s">
        <v>1156</v>
      </c>
    </row>
    <row r="32" spans="1:2" ht="75" customHeight="1" x14ac:dyDescent="0.25">
      <c r="A32" s="656" t="s">
        <v>1157</v>
      </c>
      <c r="B32" s="657" t="s">
        <v>1158</v>
      </c>
    </row>
    <row r="33" spans="1:2" ht="94.9" customHeight="1" x14ac:dyDescent="0.25">
      <c r="A33" s="656" t="s">
        <v>1159</v>
      </c>
      <c r="B33" s="657" t="s">
        <v>1160</v>
      </c>
    </row>
    <row r="34" spans="1:2" ht="25.35" customHeight="1" x14ac:dyDescent="0.25">
      <c r="A34" s="656" t="s">
        <v>1161</v>
      </c>
      <c r="B34" s="657" t="s">
        <v>1162</v>
      </c>
    </row>
    <row r="35" spans="1:2" ht="25.35" customHeight="1" x14ac:dyDescent="0.25">
      <c r="A35" s="656" t="s">
        <v>1163</v>
      </c>
      <c r="B35" s="657" t="s">
        <v>1164</v>
      </c>
    </row>
    <row r="36" spans="1:2" ht="25.7" customHeight="1" x14ac:dyDescent="0.25">
      <c r="A36" s="656" t="s">
        <v>1165</v>
      </c>
      <c r="B36" s="657" t="s">
        <v>1166</v>
      </c>
    </row>
    <row r="37" spans="1:2" ht="37.35" customHeight="1" x14ac:dyDescent="0.25">
      <c r="A37" s="656" t="s">
        <v>1167</v>
      </c>
      <c r="B37" s="657" t="s">
        <v>1168</v>
      </c>
    </row>
    <row r="38" spans="1:2" ht="22.9" customHeight="1" x14ac:dyDescent="0.25">
      <c r="A38" s="656" t="s">
        <v>1169</v>
      </c>
      <c r="B38" s="657" t="s">
        <v>1170</v>
      </c>
    </row>
    <row r="39" spans="1:2" ht="24" x14ac:dyDescent="0.25">
      <c r="A39" s="656" t="s">
        <v>1171</v>
      </c>
      <c r="B39" s="657" t="s">
        <v>1172</v>
      </c>
    </row>
    <row r="40" spans="1:2" ht="25.35" customHeight="1" x14ac:dyDescent="0.25">
      <c r="A40" s="656" t="s">
        <v>1173</v>
      </c>
      <c r="B40" s="657" t="s">
        <v>1174</v>
      </c>
    </row>
    <row r="41" spans="1:2" ht="22.9" customHeight="1" x14ac:dyDescent="0.25">
      <c r="A41" s="656" t="s">
        <v>1175</v>
      </c>
      <c r="B41" s="657" t="s">
        <v>1176</v>
      </c>
    </row>
    <row r="42" spans="1:2" ht="38.450000000000003" customHeight="1" x14ac:dyDescent="0.25">
      <c r="A42" s="656" t="s">
        <v>1177</v>
      </c>
      <c r="B42" s="657" t="s">
        <v>1178</v>
      </c>
    </row>
    <row r="43" spans="1:2" ht="25.35" customHeight="1" x14ac:dyDescent="0.25">
      <c r="A43" s="656" t="s">
        <v>1179</v>
      </c>
      <c r="B43" s="657" t="s">
        <v>1180</v>
      </c>
    </row>
    <row r="44" spans="1:2" ht="39" customHeight="1" x14ac:dyDescent="0.25">
      <c r="A44" s="656" t="s">
        <v>1181</v>
      </c>
      <c r="B44" s="657" t="s">
        <v>1182</v>
      </c>
    </row>
    <row r="45" spans="1:2" ht="27.6" customHeight="1" x14ac:dyDescent="0.25">
      <c r="A45" s="656" t="s">
        <v>1183</v>
      </c>
      <c r="B45" s="657" t="s">
        <v>1184</v>
      </c>
    </row>
    <row r="46" spans="1:2" ht="39.6" customHeight="1" x14ac:dyDescent="0.25">
      <c r="A46" s="656" t="s">
        <v>1185</v>
      </c>
      <c r="B46" s="657" t="s">
        <v>1186</v>
      </c>
    </row>
    <row r="47" spans="1:2" ht="25.35" customHeight="1" x14ac:dyDescent="0.25">
      <c r="A47" s="656" t="s">
        <v>1187</v>
      </c>
      <c r="B47" s="657" t="s">
        <v>1188</v>
      </c>
    </row>
    <row r="48" spans="1:2" ht="48" x14ac:dyDescent="0.25">
      <c r="A48" s="656" t="s">
        <v>1189</v>
      </c>
      <c r="B48" s="662" t="s">
        <v>1190</v>
      </c>
    </row>
    <row r="49" spans="1:2" ht="24" x14ac:dyDescent="0.25">
      <c r="A49" s="656" t="s">
        <v>1191</v>
      </c>
      <c r="B49" s="657" t="s">
        <v>1192</v>
      </c>
    </row>
    <row r="50" spans="1:2" ht="25.7" customHeight="1" x14ac:dyDescent="0.25">
      <c r="A50" s="656" t="s">
        <v>1193</v>
      </c>
      <c r="B50" s="662" t="s">
        <v>1194</v>
      </c>
    </row>
    <row r="51" spans="1:2" ht="30.6" customHeight="1" x14ac:dyDescent="0.25">
      <c r="A51" s="656" t="s">
        <v>1195</v>
      </c>
      <c r="B51" s="659" t="s">
        <v>1196</v>
      </c>
    </row>
    <row r="52" spans="1:2" ht="31.15" customHeight="1" x14ac:dyDescent="0.25">
      <c r="A52" s="656" t="s">
        <v>1197</v>
      </c>
      <c r="B52" s="657" t="s">
        <v>1198</v>
      </c>
    </row>
    <row r="53" spans="1:2" ht="40.700000000000003" customHeight="1" x14ac:dyDescent="0.25">
      <c r="A53" s="656" t="s">
        <v>1199</v>
      </c>
      <c r="B53" s="658" t="s">
        <v>1200</v>
      </c>
    </row>
    <row r="54" spans="1:2" ht="50.45" customHeight="1" x14ac:dyDescent="0.25">
      <c r="A54" s="656" t="s">
        <v>1201</v>
      </c>
      <c r="B54" s="658" t="s">
        <v>1202</v>
      </c>
    </row>
    <row r="55" spans="1:2" ht="43.15" customHeight="1" x14ac:dyDescent="0.25">
      <c r="A55" s="656" t="s">
        <v>1203</v>
      </c>
      <c r="B55" s="658" t="s">
        <v>1204</v>
      </c>
    </row>
    <row r="56" spans="1:2" ht="24" x14ac:dyDescent="0.25">
      <c r="A56" s="656" t="s">
        <v>1205</v>
      </c>
      <c r="B56" s="658" t="s">
        <v>1206</v>
      </c>
    </row>
    <row r="57" spans="1:2" ht="86.45" customHeight="1" x14ac:dyDescent="0.25">
      <c r="A57" s="656" t="s">
        <v>1207</v>
      </c>
      <c r="B57" s="658" t="s">
        <v>1208</v>
      </c>
    </row>
    <row r="58" spans="1:2" ht="30" customHeight="1" x14ac:dyDescent="0.25">
      <c r="A58" s="656" t="s">
        <v>1209</v>
      </c>
      <c r="B58" s="657" t="s">
        <v>1210</v>
      </c>
    </row>
    <row r="59" spans="1:2" ht="26.45" customHeight="1" x14ac:dyDescent="0.25">
      <c r="A59" s="656" t="s">
        <v>1211</v>
      </c>
      <c r="B59" s="657" t="s">
        <v>1212</v>
      </c>
    </row>
    <row r="60" spans="1:2" ht="100.9" customHeight="1" x14ac:dyDescent="0.25">
      <c r="A60" s="656" t="s">
        <v>1213</v>
      </c>
      <c r="B60" s="658" t="s">
        <v>1214</v>
      </c>
    </row>
    <row r="61" spans="1:2" ht="23.45" customHeight="1" x14ac:dyDescent="0.25">
      <c r="A61" s="656" t="s">
        <v>1215</v>
      </c>
      <c r="B61" s="657" t="s">
        <v>1216</v>
      </c>
    </row>
    <row r="62" spans="1:2" ht="24" x14ac:dyDescent="0.25">
      <c r="A62" s="656" t="s">
        <v>1217</v>
      </c>
      <c r="B62" s="657" t="s">
        <v>1218</v>
      </c>
    </row>
    <row r="63" spans="1:2" ht="23.45" customHeight="1" x14ac:dyDescent="0.25">
      <c r="A63" s="663" t="s">
        <v>1219</v>
      </c>
      <c r="B63" s="664" t="s">
        <v>1220</v>
      </c>
    </row>
    <row r="64" spans="1:2" ht="210.6" customHeight="1" x14ac:dyDescent="0.25">
      <c r="A64" s="656" t="s">
        <v>1221</v>
      </c>
      <c r="B64" s="658" t="s">
        <v>1222</v>
      </c>
    </row>
    <row r="65" spans="1:2" ht="25.35" customHeight="1" x14ac:dyDescent="0.25">
      <c r="A65" s="656" t="s">
        <v>1223</v>
      </c>
      <c r="B65" s="657" t="s">
        <v>1224</v>
      </c>
    </row>
    <row r="66" spans="1:2" ht="28.15" customHeight="1" x14ac:dyDescent="0.25">
      <c r="A66" s="656" t="s">
        <v>1225</v>
      </c>
      <c r="B66" s="657" t="s">
        <v>1226</v>
      </c>
    </row>
    <row r="67" spans="1:2" ht="49.15" customHeight="1" x14ac:dyDescent="0.25">
      <c r="A67" s="656" t="s">
        <v>1227</v>
      </c>
      <c r="B67" s="657" t="s">
        <v>1228</v>
      </c>
    </row>
    <row r="68" spans="1:2" ht="26.45" customHeight="1" x14ac:dyDescent="0.25">
      <c r="A68" s="656" t="s">
        <v>1229</v>
      </c>
      <c r="B68" s="657" t="s">
        <v>1230</v>
      </c>
    </row>
    <row r="69" spans="1:2" ht="25.7" customHeight="1" x14ac:dyDescent="0.25">
      <c r="A69" s="656" t="s">
        <v>1231</v>
      </c>
      <c r="B69" s="657" t="s">
        <v>1232</v>
      </c>
    </row>
    <row r="70" spans="1:2" ht="27" customHeight="1" x14ac:dyDescent="0.25">
      <c r="A70" s="656" t="s">
        <v>1233</v>
      </c>
      <c r="B70" s="657" t="s">
        <v>1234</v>
      </c>
    </row>
    <row r="71" spans="1:2" ht="28.15" customHeight="1" x14ac:dyDescent="0.25">
      <c r="A71" s="656" t="s">
        <v>1235</v>
      </c>
      <c r="B71" s="657" t="s">
        <v>1236</v>
      </c>
    </row>
    <row r="72" spans="1:2" ht="51" customHeight="1" x14ac:dyDescent="0.25">
      <c r="A72" s="656" t="s">
        <v>1237</v>
      </c>
      <c r="B72" s="657" t="s">
        <v>1238</v>
      </c>
    </row>
    <row r="73" spans="1:2" ht="40.35" customHeight="1" x14ac:dyDescent="0.25">
      <c r="A73" s="656" t="s">
        <v>1239</v>
      </c>
      <c r="B73" s="657" t="s">
        <v>1240</v>
      </c>
    </row>
  </sheetData>
  <sheetProtection algorithmName="SHA-512" hashValue="2PgjRRUhVYdsi6g91hQRJebdwXofceGeBX1zGRcKq6YZaoAlJAil7q1hxzZncLpUPZ2izO4UXeG8F29N4/tn4g==" saltValue="aa2Mlz4Bvi9302sFOToE4w==" spinCount="100000" sheet="1" objects="1" scenarios="1"/>
  <mergeCells count="2">
    <mergeCell ref="A1:B1"/>
    <mergeCell ref="A2:B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5</vt:i4>
      </vt:variant>
    </vt:vector>
  </HeadingPairs>
  <TitlesOfParts>
    <vt:vector size="22" baseType="lpstr">
      <vt:lpstr>Capa</vt:lpstr>
      <vt:lpstr>1</vt:lpstr>
      <vt:lpstr>2</vt:lpstr>
      <vt:lpstr>3</vt:lpstr>
      <vt:lpstr>4</vt:lpstr>
      <vt:lpstr>5</vt:lpstr>
      <vt:lpstr>6</vt:lpstr>
      <vt:lpstr>7</vt:lpstr>
      <vt:lpstr>8.1</vt:lpstr>
      <vt:lpstr>8.2</vt:lpstr>
      <vt:lpstr>8.3</vt:lpstr>
      <vt:lpstr>8.4</vt:lpstr>
      <vt:lpstr>8.5</vt:lpstr>
      <vt:lpstr>8.6</vt:lpstr>
      <vt:lpstr>Quadro Geral</vt:lpstr>
      <vt:lpstr>Notas Rodapé</vt:lpstr>
      <vt:lpstr>Glossário</vt:lpstr>
      <vt:lpstr>'1'!_ftn1</vt:lpstr>
      <vt:lpstr>'1'!_ftn2</vt:lpstr>
      <vt:lpstr>'1'!_ftn3</vt:lpstr>
      <vt:lpstr>'Notas Rodapé'!_Hlk189516474</vt:lpstr>
      <vt:lps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Schauff</dc:creator>
  <cp:keywords/>
  <dc:description/>
  <cp:lastModifiedBy>Carlos Schauff</cp:lastModifiedBy>
  <cp:revision/>
  <dcterms:created xsi:type="dcterms:W3CDTF">2022-02-16T21:36:36Z</dcterms:created>
  <dcterms:modified xsi:type="dcterms:W3CDTF">2025-03-05T19:12:44Z</dcterms:modified>
  <cp:category/>
  <cp:contentStatus/>
</cp:coreProperties>
</file>